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ndo e utilizzi" sheetId="1" state="visible" r:id="rId2"/>
    <sheet name="uscite-entrate" sheetId="2" state="visible" r:id="rId3"/>
    <sheet name="RIA e ad personam" sheetId="3" state="visible" r:id="rId4"/>
    <sheet name="quota comparto" sheetId="4" state="visible" r:id="rId5"/>
    <sheet name="nuove PEO" sheetId="5" state="visible" r:id="rId6"/>
    <sheet name="Quote PEO" sheetId="6" state="visible" r:id="rId7"/>
    <sheet name="PL" sheetId="7" state="visible" r:id="rId8"/>
    <sheet name="Spesa PEO annua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<sst xmlns="http://schemas.openxmlformats.org/spreadsheetml/2006/main" count="301" uniqueCount="162">
  <si>
    <t xml:space="preserve">% su fondo</t>
  </si>
  <si>
    <t xml:space="preserve">stabile</t>
  </si>
  <si>
    <t xml:space="preserve">PO fuori fondo 2017</t>
  </si>
  <si>
    <t xml:space="preserve">eventuale incremento PO</t>
  </si>
  <si>
    <t xml:space="preserve">nuovo fondo PO</t>
  </si>
  <si>
    <t xml:space="preserve">stabile dal 2018</t>
  </si>
  <si>
    <t xml:space="preserve">impieghi stabili</t>
  </si>
  <si>
    <t xml:space="preserve">indennità di comparto</t>
  </si>
  <si>
    <t xml:space="preserve">PEO: totale "C" anno precedente meno cessazioni</t>
  </si>
  <si>
    <t xml:space="preserve">A </t>
  </si>
  <si>
    <t xml:space="preserve">nuove PEO per anno</t>
  </si>
  <si>
    <t xml:space="preserve">B </t>
  </si>
  <si>
    <t xml:space="preserve">C </t>
  </si>
  <si>
    <t xml:space="preserve">totali PEO = A + B</t>
  </si>
  <si>
    <t xml:space="preserve">PO (spesa effettiva) (destinato 253.120,00)</t>
  </si>
  <si>
    <t xml:space="preserve">indennità ex 8° q.f.</t>
  </si>
  <si>
    <r>
      <rPr>
        <sz val="11"/>
        <rFont val="Calibri"/>
        <family val="2"/>
        <charset val="1"/>
      </rPr>
      <t xml:space="preserve">recupero </t>
    </r>
    <r>
      <rPr>
        <i val="true"/>
        <sz val="11"/>
        <rFont val="Calibri"/>
        <family val="2"/>
        <charset val="1"/>
      </rPr>
      <t xml:space="preserve">ex</t>
    </r>
    <r>
      <rPr>
        <sz val="11"/>
        <rFont val="Calibri"/>
        <family val="2"/>
        <charset val="1"/>
      </rPr>
      <t xml:space="preserve"> art. 4 DL 16/2014 di anni precedenti: rate dal 3° al 7° anno</t>
    </r>
  </si>
  <si>
    <t xml:space="preserve">totale istituti stabili</t>
  </si>
  <si>
    <t xml:space="preserve">costituzione variabile</t>
  </si>
  <si>
    <t xml:space="preserve">15c2 CCNL 1999</t>
  </si>
  <si>
    <t xml:space="preserve">15C5 CCNL 1999</t>
  </si>
  <si>
    <t xml:space="preserve">riconduzione al 2016</t>
  </si>
  <si>
    <t xml:space="preserve">residuo anno precedente</t>
  </si>
  <si>
    <t xml:space="preserve">residuo straordinari anno precedente</t>
  </si>
  <si>
    <t xml:space="preserve">totale variabile</t>
  </si>
  <si>
    <t xml:space="preserve">totali fondo</t>
  </si>
  <si>
    <t xml:space="preserve">residuo stabile</t>
  </si>
  <si>
    <t xml:space="preserve">totale spendibile (residuo stabile + variabile)</t>
  </si>
  <si>
    <t xml:space="preserve">impieghi variabili</t>
  </si>
  <si>
    <t xml:space="preserve">incarichi di responsabilità</t>
  </si>
  <si>
    <t xml:space="preserve">6 mesi nel 2019</t>
  </si>
  <si>
    <t xml:space="preserve">indennità di funzione PL</t>
  </si>
  <si>
    <t xml:space="preserve">maneggio valori</t>
  </si>
  <si>
    <t xml:space="preserve">rischio (nel 2017 insieme al disagio)</t>
  </si>
  <si>
    <t xml:space="preserve">disagio</t>
  </si>
  <si>
    <t xml:space="preserve">indennità condizioni lavoro</t>
  </si>
  <si>
    <t xml:space="preserve">servizio esterno PL</t>
  </si>
  <si>
    <t xml:space="preserve">turno</t>
  </si>
  <si>
    <t xml:space="preserve">reperibilità</t>
  </si>
  <si>
    <t xml:space="preserve">produttività da sponsorizzazioni</t>
  </si>
  <si>
    <r>
      <rPr>
        <sz val="11"/>
        <rFont val="Calibri"/>
        <family val="2"/>
        <charset val="1"/>
      </rPr>
      <t xml:space="preserve">premi di </t>
    </r>
    <r>
      <rPr>
        <i val="true"/>
        <sz val="11"/>
        <rFont val="Calibri"/>
        <family val="2"/>
        <charset val="1"/>
      </rPr>
      <t xml:space="preserve">performance</t>
    </r>
    <r>
      <rPr>
        <sz val="11"/>
        <rFont val="Calibri"/>
        <family val="2"/>
        <charset val="1"/>
      </rPr>
      <t xml:space="preserve">(collettiva)</t>
    </r>
  </si>
  <si>
    <t xml:space="preserve">totale istituti variabili</t>
  </si>
  <si>
    <t xml:space="preserve">residuo</t>
  </si>
  <si>
    <t xml:space="preserve">non spendibile</t>
  </si>
  <si>
    <t xml:space="preserve">cessazioni programmate - RECUPERI PEO E COMPARTO</t>
  </si>
  <si>
    <t xml:space="preserve">NOMINATIVO</t>
  </si>
  <si>
    <t xml:space="preserve">POS. EC. (E POS. INIZIALE)</t>
  </si>
  <si>
    <t xml:space="preserve">DATA CESSAZIONE (ultimo giorno di lavoro)</t>
  </si>
  <si>
    <t xml:space="preserve">PEO ANNUA (CCNL 2016/18)</t>
  </si>
  <si>
    <t xml:space="preserve">INDENNITA' DI COMPARTO ANNUA (quota fondo)</t>
  </si>
  <si>
    <t xml:space="preserve">ANNO 2019</t>
  </si>
  <si>
    <t xml:space="preserve">ANNO 2020</t>
  </si>
  <si>
    <t xml:space="preserve">ANNO 2021</t>
  </si>
  <si>
    <t xml:space="preserve">ANNO 2022</t>
  </si>
  <si>
    <t xml:space="preserve">Modesti Lino</t>
  </si>
  <si>
    <t xml:space="preserve">C3</t>
  </si>
  <si>
    <t xml:space="preserve">Di Pietro Guerino</t>
  </si>
  <si>
    <t xml:space="preserve">B3 (B1)</t>
  </si>
  <si>
    <t xml:space="preserve">Renzi Gianfranco</t>
  </si>
  <si>
    <t xml:space="preserve">B4 (B1)</t>
  </si>
  <si>
    <t xml:space="preserve">Di Domenicantonio Gabriele</t>
  </si>
  <si>
    <t xml:space="preserve">B2</t>
  </si>
  <si>
    <t xml:space="preserve">Di Filippantonio Franco</t>
  </si>
  <si>
    <t xml:space="preserve">B4 (B3)</t>
  </si>
  <si>
    <t xml:space="preserve">Reggimenti Angelo</t>
  </si>
  <si>
    <t xml:space="preserve">D1</t>
  </si>
  <si>
    <t xml:space="preserve">Di Domenico Marcello</t>
  </si>
  <si>
    <t xml:space="preserve">Mercante Nicola</t>
  </si>
  <si>
    <t xml:space="preserve">Tulini Mario</t>
  </si>
  <si>
    <t xml:space="preserve">Matalucci Marcello</t>
  </si>
  <si>
    <t xml:space="preserve">B5 (B3)</t>
  </si>
  <si>
    <t xml:space="preserve">Giansante Angelo</t>
  </si>
  <si>
    <t xml:space="preserve">B3 (B3)</t>
  </si>
  <si>
    <t xml:space="preserve">Di Filippo Felice</t>
  </si>
  <si>
    <t xml:space="preserve">B6 (B3)</t>
  </si>
  <si>
    <t xml:space="preserve">Cecchini Rita</t>
  </si>
  <si>
    <t xml:space="preserve">Romualdi Dante</t>
  </si>
  <si>
    <t xml:space="preserve">Di Giuseppe Adamo</t>
  </si>
  <si>
    <t xml:space="preserve">Procaccia Fabio</t>
  </si>
  <si>
    <t xml:space="preserve">Amorosi Salvatore</t>
  </si>
  <si>
    <t xml:space="preserve">totali per anno</t>
  </si>
  <si>
    <t xml:space="preserve">ingressi - INCREMENTO SPESA PEO E COMPARTO</t>
  </si>
  <si>
    <t xml:space="preserve">CAT / POS EC</t>
  </si>
  <si>
    <r>
      <rPr>
        <b val="true"/>
        <sz val="10"/>
        <rFont val="Calibri"/>
        <family val="2"/>
        <charset val="1"/>
      </rPr>
      <t xml:space="preserve">DATA ENTRATA </t>
    </r>
    <r>
      <rPr>
        <b val="true"/>
        <sz val="10"/>
        <color rgb="FFFF0000"/>
        <rFont val="Calibri"/>
        <family val="2"/>
        <charset val="1"/>
      </rPr>
      <t xml:space="preserve">(ipotesi 01/10/19)</t>
    </r>
  </si>
  <si>
    <t xml:space="preserve">C</t>
  </si>
  <si>
    <t xml:space="preserve">D</t>
  </si>
  <si>
    <t xml:space="preserve">B1</t>
  </si>
  <si>
    <t xml:space="preserve">differenza cessazioni/ingressi</t>
  </si>
  <si>
    <t xml:space="preserve">cessazioni programmate - RECUPERI RIA E AD PERSONAM</t>
  </si>
  <si>
    <t xml:space="preserve">RIA</t>
  </si>
  <si>
    <t xml:space="preserve">AD PERSONAM</t>
  </si>
  <si>
    <t xml:space="preserve">Pennacchioni</t>
  </si>
  <si>
    <t xml:space="preserve">B6 (B1)</t>
  </si>
  <si>
    <t xml:space="preserve">Panetta</t>
  </si>
  <si>
    <t xml:space="preserve">D6 (D3)</t>
  </si>
  <si>
    <t xml:space="preserve">Salvati</t>
  </si>
  <si>
    <t xml:space="preserve">Feliziani</t>
  </si>
  <si>
    <t xml:space="preserve">C5</t>
  </si>
  <si>
    <t xml:space="preserve">totali complessivi</t>
  </si>
  <si>
    <t xml:space="preserve">PERSONALE IN SERVIZIO</t>
  </si>
  <si>
    <t xml:space="preserve">NN.</t>
  </si>
  <si>
    <t xml:space="preserve">IMPORTO A CARICO DEL BILANCIO
(QUOTA A)</t>
  </si>
  <si>
    <t xml:space="preserve">TOTALE A CARICO DEL BILANCIO</t>
  </si>
  <si>
    <t xml:space="preserve">IMPORTO A CARICO DEL FONDO          (QUOTE B / C) </t>
  </si>
  <si>
    <t xml:space="preserve">TOTALE A CARICO DEL FONDO</t>
  </si>
  <si>
    <t xml:space="preserve">Cat. D</t>
  </si>
  <si>
    <t xml:space="preserve">Cat. C</t>
  </si>
  <si>
    <t xml:space="preserve">Cat. B</t>
  </si>
  <si>
    <t xml:space="preserve">Cat. A</t>
  </si>
  <si>
    <t xml:space="preserve">Categoria e posizione econmica</t>
  </si>
  <si>
    <t xml:space="preserve">Retribuzione tabellare a regime per 12 mensilità</t>
  </si>
  <si>
    <t xml:space="preserve">incremento orizzontale per 12 mensilità</t>
  </si>
  <si>
    <t xml:space="preserve">incremento orizzontale per 13 mensilità</t>
  </si>
  <si>
    <t xml:space="preserve">aventi diritto 2018</t>
  </si>
  <si>
    <t xml:space="preserve">n. passaggi 2018</t>
  </si>
  <si>
    <t xml:space="preserve">spesa sul fondo 2018</t>
  </si>
  <si>
    <t xml:space="preserve">aventi diritto 2019</t>
  </si>
  <si>
    <t xml:space="preserve">n. passaggi 2019</t>
  </si>
  <si>
    <t xml:space="preserve">spesa sul fondo 2019</t>
  </si>
  <si>
    <t xml:space="preserve">aventi diritto 2020</t>
  </si>
  <si>
    <t xml:space="preserve">n. passaggi 2020</t>
  </si>
  <si>
    <t xml:space="preserve">spesa sul fondo 2020</t>
  </si>
  <si>
    <t xml:space="preserve">D7</t>
  </si>
  <si>
    <t xml:space="preserve">D6</t>
  </si>
  <si>
    <t xml:space="preserve">D5</t>
  </si>
  <si>
    <t xml:space="preserve">D4</t>
  </si>
  <si>
    <t xml:space="preserve">D3G</t>
  </si>
  <si>
    <t xml:space="preserve">D3</t>
  </si>
  <si>
    <t xml:space="preserve">D2</t>
  </si>
  <si>
    <t xml:space="preserve">C6</t>
  </si>
  <si>
    <t xml:space="preserve">C4</t>
  </si>
  <si>
    <t xml:space="preserve">C2</t>
  </si>
  <si>
    <t xml:space="preserve">C1</t>
  </si>
  <si>
    <t xml:space="preserve">B8</t>
  </si>
  <si>
    <t xml:space="preserve">B7</t>
  </si>
  <si>
    <t xml:space="preserve">B6</t>
  </si>
  <si>
    <t xml:space="preserve">B5</t>
  </si>
  <si>
    <t xml:space="preserve">B4</t>
  </si>
  <si>
    <t xml:space="preserve">B3G</t>
  </si>
  <si>
    <t xml:space="preserve">B3</t>
  </si>
  <si>
    <t xml:space="preserve">A6</t>
  </si>
  <si>
    <t xml:space="preserve">A5</t>
  </si>
  <si>
    <t xml:space="preserve">A4</t>
  </si>
  <si>
    <t xml:space="preserve">A3</t>
  </si>
  <si>
    <t xml:space="preserve">A2</t>
  </si>
  <si>
    <t xml:space="preserve">A1</t>
  </si>
  <si>
    <t xml:space="preserve">totale</t>
  </si>
  <si>
    <t xml:space="preserve">tot. per anno</t>
  </si>
  <si>
    <t xml:space="preserve">tot. 2018+2019</t>
  </si>
  <si>
    <t xml:space="preserve">tot. 2018+2019+2020</t>
  </si>
  <si>
    <t xml:space="preserve">n. passaggi</t>
  </si>
  <si>
    <t xml:space="preserve">spesa sul fondo</t>
  </si>
  <si>
    <t xml:space="preserve">n. passaggi rispetto a 1 pass. da D2 a D3</t>
  </si>
  <si>
    <t xml:space="preserve">giorni anno (orario di lavoro su 5 giorni settimanali)</t>
  </si>
  <si>
    <t xml:space="preserve">n. vigili</t>
  </si>
  <si>
    <t xml:space="preserve">euro/giorno</t>
  </si>
  <si>
    <t xml:space="preserve">incremento per posizione per 12 mensilità</t>
  </si>
  <si>
    <t xml:space="preserve">incremento per posizione per 13 mensilità</t>
  </si>
  <si>
    <t xml:space="preserve">incremento complessivo rispetto alla iniziale</t>
  </si>
  <si>
    <t xml:space="preserve">dipendenti anno 2018</t>
  </si>
  <si>
    <t xml:space="preserve">dipendenti  anno 2019</t>
  </si>
  <si>
    <t xml:space="preserve">dipendenti anno 2020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</si>
</sst>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_-&quot;€ &quot;* #,##0.00_-;&quot;-€ &quot;* #,##0.00_-;_-&quot;€ &quot;* \-??_-;_-@_-"/>
    <numFmt numFmtId="167" formatCode="&quot;€ &quot;#,##0.00"/>
    <numFmt numFmtId="168" formatCode="&quot;€ &quot;#,##0.00;&quot;-€ &quot;#,##0.00"/>
    <numFmt numFmtId="169" formatCode="0.00%"/>
    <numFmt numFmtId="170" formatCode="DD/MM/YY"/>
    <numFmt numFmtId="171" formatCode="#,##0.00"/>
    <numFmt numFmtId="172" formatCode="_-* #,##0.00_-;\-* #,##0.00_-;_-* \-??_-;_-@_-"/>
    <numFmt numFmtId="173" formatCode="0"/>
    <numFmt numFmtId="174" formatCode="General"/>
    <numFmt numFmtId="175" formatCode="0.00"/>
  </numFmts>
  <fonts count="2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99CCFF"/>
        <bgColor rgb="FFCCCCFF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99CC00"/>
        <bgColor rgb="FFFFCC00"/>
      </patternFill>
    </fill>
    <fill>
      <patternFill patternType="solid">
        <fgColor rgb="FF808080"/>
        <bgColor rgb="FF969696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3" borderId="6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3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3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2" borderId="9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5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5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5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6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5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7" borderId="1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5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6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1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8" borderId="12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8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9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9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7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7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11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11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11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1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12" borderId="1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12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2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12" borderId="2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2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12" borderId="2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12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0" borderId="2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2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7" fillId="0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9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1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5" fillId="14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1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1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1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6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3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1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6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6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3" fillId="5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7" fillId="10" borderId="2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7" fillId="3" borderId="2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7" fillId="0" borderId="2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6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3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12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6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2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3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6" borderId="3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9" fillId="0" borderId="2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6" borderId="2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9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6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1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9" fillId="0" borderId="3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12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3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3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2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1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6" borderId="3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6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18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9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8" fillId="16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16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8" fillId="16" borderId="4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3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3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20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0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17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17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4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0" borderId="4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3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4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3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0" borderId="3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9" fillId="0" borderId="3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12" borderId="2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12" borderId="4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12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12" borderId="3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2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0" borderId="4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3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2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12" borderId="4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12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18" fillId="0" borderId="2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8" fillId="3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SIMULAZ Fondi Castelvetro 18 settembre" xfId="20"/>
    <cellStyle name="Normale_SIMULAZ Fondi Castelvetro 18 settembre_Teramo - Utilizzo fondo 2019-2021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pane xSplit="2" ySplit="2" topLeftCell="C26" activePane="bottomRight" state="frozen"/>
      <selection pane="topLeft" activeCell="A1" activeCellId="0" sqref="A1"/>
      <selection pane="topRight" activeCell="C1" activeCellId="0" sqref="C1"/>
      <selection pane="bottomLeft" activeCell="A26" activeCellId="0" sqref="A26"/>
      <selection pane="bottomRight" activeCell="K39" activeCellId="0" sqref="K39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45.14"/>
    <col collapsed="false" customWidth="true" hidden="false" outlineLevel="0" max="3" min="3" style="0" width="13.86"/>
    <col collapsed="false" customWidth="true" hidden="false" outlineLevel="0" max="4" min="4" style="0" width="18.29"/>
    <col collapsed="false" customWidth="true" hidden="false" outlineLevel="0" max="5" min="5" style="0" width="13.86"/>
    <col collapsed="false" customWidth="true" hidden="false" outlineLevel="0" max="6" min="6" style="0" width="10"/>
    <col collapsed="false" customWidth="true" hidden="false" outlineLevel="0" max="7" min="7" style="0" width="13.86"/>
    <col collapsed="false" customWidth="true" hidden="false" outlineLevel="0" max="8" min="8" style="0" width="10"/>
    <col collapsed="false" customWidth="true" hidden="false" outlineLevel="0" max="9" min="9" style="0" width="13.86"/>
    <col collapsed="false" customWidth="true" hidden="false" outlineLevel="0" max="10" min="10" style="0" width="10"/>
    <col collapsed="false" customWidth="true" hidden="false" outlineLevel="0" max="11" min="11" style="0" width="13.86"/>
    <col collapsed="false" customWidth="true" hidden="false" outlineLevel="0" max="12" min="12" style="0" width="10"/>
    <col collapsed="false" customWidth="true" hidden="false" outlineLevel="0" max="13" min="13" style="0" width="11.71"/>
  </cols>
  <sheetData>
    <row r="1" customFormat="false" ht="30" hidden="false" customHeight="true" outlineLevel="0" collapsed="false">
      <c r="A1" s="1"/>
      <c r="B1" s="2"/>
      <c r="C1" s="3" t="n">
        <v>2017</v>
      </c>
      <c r="D1" s="4"/>
      <c r="E1" s="5" t="n">
        <v>2018</v>
      </c>
      <c r="F1" s="6" t="s">
        <v>0</v>
      </c>
      <c r="G1" s="5" t="n">
        <v>2019</v>
      </c>
      <c r="H1" s="6" t="s">
        <v>0</v>
      </c>
      <c r="I1" s="5" t="n">
        <v>2020</v>
      </c>
      <c r="J1" s="6" t="s">
        <v>0</v>
      </c>
      <c r="K1" s="5" t="n">
        <v>2021</v>
      </c>
      <c r="L1" s="6" t="s">
        <v>0</v>
      </c>
    </row>
    <row r="2" customFormat="false" ht="15.75" hidden="false" customHeight="false" outlineLevel="0" collapsed="false">
      <c r="A2" s="7" t="s">
        <v>1</v>
      </c>
      <c r="B2" s="7"/>
      <c r="C2" s="8" t="n">
        <v>1110512.81425082</v>
      </c>
      <c r="D2" s="9"/>
      <c r="E2" s="8" t="n">
        <v>805692.602584153</v>
      </c>
      <c r="F2" s="10"/>
      <c r="G2" s="8" t="n">
        <v>775042.04350164</v>
      </c>
      <c r="H2" s="10"/>
      <c r="I2" s="8" t="n">
        <v>775042.04350164</v>
      </c>
      <c r="J2" s="10"/>
      <c r="K2" s="8" t="n">
        <v>775042.04350164</v>
      </c>
      <c r="L2" s="10"/>
    </row>
    <row r="3" customFormat="false" ht="15.75" hidden="false" customHeight="false" outlineLevel="0" collapsed="false">
      <c r="A3" s="11"/>
      <c r="B3" s="12"/>
      <c r="C3" s="12"/>
      <c r="D3" s="13" t="s">
        <v>2</v>
      </c>
      <c r="E3" s="14" t="n">
        <v>253120</v>
      </c>
      <c r="F3" s="15"/>
      <c r="G3" s="14" t="n">
        <f aca="false">E3</f>
        <v>253120</v>
      </c>
      <c r="H3" s="15"/>
      <c r="I3" s="14" t="n">
        <f aca="false">G3</f>
        <v>253120</v>
      </c>
      <c r="J3" s="15"/>
      <c r="K3" s="14" t="n">
        <f aca="false">I3</f>
        <v>253120</v>
      </c>
      <c r="L3" s="15"/>
    </row>
    <row r="4" customFormat="false" ht="15.75" hidden="false" customHeight="false" outlineLevel="0" collapsed="false">
      <c r="A4" s="16"/>
      <c r="B4" s="12"/>
      <c r="C4" s="13" t="s">
        <v>3</v>
      </c>
      <c r="D4" s="13"/>
      <c r="E4" s="17" t="n">
        <v>0</v>
      </c>
      <c r="F4" s="15"/>
      <c r="G4" s="17" t="n">
        <v>0</v>
      </c>
      <c r="H4" s="15"/>
      <c r="I4" s="17" t="n">
        <v>0</v>
      </c>
      <c r="J4" s="15"/>
      <c r="K4" s="17" t="n">
        <v>0</v>
      </c>
      <c r="L4" s="15"/>
    </row>
    <row r="5" customFormat="false" ht="15.75" hidden="false" customHeight="false" outlineLevel="0" collapsed="false">
      <c r="A5" s="16"/>
      <c r="B5" s="12"/>
      <c r="C5" s="12"/>
      <c r="D5" s="18" t="s">
        <v>4</v>
      </c>
      <c r="E5" s="19" t="n">
        <f aca="false">E3+E4</f>
        <v>253120</v>
      </c>
      <c r="F5" s="15"/>
      <c r="G5" s="19" t="n">
        <f aca="false">G3+G4</f>
        <v>253120</v>
      </c>
      <c r="H5" s="15"/>
      <c r="I5" s="19" t="n">
        <f aca="false">I3+I4</f>
        <v>253120</v>
      </c>
      <c r="J5" s="15"/>
      <c r="K5" s="19" t="n">
        <f aca="false">K3+K4</f>
        <v>253120</v>
      </c>
      <c r="L5" s="15"/>
    </row>
    <row r="6" customFormat="false" ht="15.75" hidden="false" customHeight="false" outlineLevel="0" collapsed="false">
      <c r="A6" s="20"/>
      <c r="B6" s="12"/>
      <c r="C6" s="12"/>
      <c r="D6" s="21" t="s">
        <v>5</v>
      </c>
      <c r="E6" s="8" t="n">
        <f aca="false">E2-E4</f>
        <v>805692.602584153</v>
      </c>
      <c r="F6" s="22"/>
      <c r="G6" s="23" t="n">
        <f aca="false">G2-G4</f>
        <v>775042.04350164</v>
      </c>
      <c r="H6" s="22"/>
      <c r="I6" s="23" t="n">
        <f aca="false">I2-I4</f>
        <v>775042.04350164</v>
      </c>
      <c r="J6" s="22"/>
      <c r="K6" s="23" t="n">
        <f aca="false">K2-K4</f>
        <v>775042.04350164</v>
      </c>
      <c r="L6" s="22"/>
    </row>
    <row r="7" customFormat="false" ht="15" hidden="false" customHeight="true" outlineLevel="0" collapsed="false">
      <c r="A7" s="24" t="s">
        <v>6</v>
      </c>
      <c r="B7" s="25" t="s">
        <v>7</v>
      </c>
      <c r="C7" s="26" t="n">
        <v>88445</v>
      </c>
      <c r="D7" s="27"/>
      <c r="E7" s="28" t="n">
        <v>81064.68</v>
      </c>
      <c r="F7" s="29" t="n">
        <f aca="false">E7*1/$E$24</f>
        <v>0.10061489920597</v>
      </c>
      <c r="G7" s="26" t="n">
        <f aca="false">E7+'uscite-entrate'!G45</f>
        <v>80955.09</v>
      </c>
      <c r="H7" s="29" t="n">
        <f aca="false">G7*1/$G$24</f>
        <v>0.104452514129743</v>
      </c>
      <c r="I7" s="26" t="n">
        <f aca="false">E7+'uscite-entrate'!I45</f>
        <v>83497.86</v>
      </c>
      <c r="J7" s="29" t="n">
        <f aca="false">I7*1/$I$24</f>
        <v>0.107733329694937</v>
      </c>
      <c r="K7" s="26" t="n">
        <f aca="false">E7+'uscite-entrate'!K45</f>
        <v>83033.52</v>
      </c>
      <c r="L7" s="29" t="n">
        <f aca="false">K7*1/$K$24</f>
        <v>0.107134213809685</v>
      </c>
    </row>
    <row r="8" customFormat="false" ht="15" hidden="false" customHeight="false" outlineLevel="0" collapsed="false">
      <c r="A8" s="24"/>
      <c r="B8" s="30" t="s">
        <v>8</v>
      </c>
      <c r="C8" s="31" t="n">
        <v>104849</v>
      </c>
      <c r="D8" s="12" t="s">
        <v>9</v>
      </c>
      <c r="E8" s="31" t="n">
        <v>101073.26</v>
      </c>
      <c r="F8" s="32" t="n">
        <f aca="false">E8*1/$E$24</f>
        <v>0.12544891150275</v>
      </c>
      <c r="G8" s="31" t="n">
        <f aca="false">E11+'uscite-entrate'!F45</f>
        <v>163499.435138889</v>
      </c>
      <c r="H8" s="32" t="n">
        <f aca="false">G8*1/$G$24</f>
        <v>0.210955568810433</v>
      </c>
      <c r="I8" s="31" t="n">
        <f aca="false">G11+'uscite-entrate'!H45-'uscite-entrate'!F45</f>
        <v>158120.102847222</v>
      </c>
      <c r="J8" s="32" t="n">
        <f aca="false">I8*1/$I$24</f>
        <v>0.204014871416311</v>
      </c>
      <c r="K8" s="31" t="n">
        <f aca="false">I11+'uscite-entrate'!J45-'uscite-entrate'!H45</f>
        <v>154893.807083333</v>
      </c>
      <c r="L8" s="32" t="n">
        <f aca="false">K8*1/$K$24</f>
        <v>0.199852134967444</v>
      </c>
      <c r="M8" s="33"/>
    </row>
    <row r="9" customFormat="false" ht="15.75" hidden="false" customHeight="false" outlineLevel="0" collapsed="false">
      <c r="A9" s="24"/>
      <c r="B9" s="34" t="s">
        <v>10</v>
      </c>
      <c r="C9" s="35"/>
      <c r="D9" s="12" t="s">
        <v>11</v>
      </c>
      <c r="E9" s="36" t="n">
        <v>65000</v>
      </c>
      <c r="F9" s="37" t="n">
        <f aca="false">E9*1/$E$24</f>
        <v>0.0806759299905709</v>
      </c>
      <c r="G9" s="36" t="n">
        <v>0</v>
      </c>
      <c r="H9" s="37" t="n">
        <f aca="false">G9*1/$G$24</f>
        <v>0</v>
      </c>
      <c r="I9" s="36" t="n">
        <v>0</v>
      </c>
      <c r="J9" s="37" t="n">
        <f aca="false">I9*1/$I$24</f>
        <v>0</v>
      </c>
      <c r="K9" s="36" t="n">
        <v>0</v>
      </c>
      <c r="L9" s="37" t="n">
        <f aca="false">K9*1/$K$24</f>
        <v>0</v>
      </c>
      <c r="M9" s="33"/>
    </row>
    <row r="10" customFormat="false" ht="4.5" hidden="false" customHeight="true" outlineLevel="0" collapsed="false">
      <c r="A10" s="24"/>
      <c r="B10" s="38"/>
      <c r="C10" s="39"/>
      <c r="D10" s="40"/>
      <c r="E10" s="39"/>
      <c r="F10" s="41"/>
      <c r="G10" s="42"/>
      <c r="H10" s="41"/>
      <c r="I10" s="42"/>
      <c r="J10" s="41"/>
      <c r="K10" s="42"/>
      <c r="L10" s="41"/>
      <c r="M10" s="33"/>
    </row>
    <row r="11" customFormat="false" ht="15.75" hidden="false" customHeight="false" outlineLevel="0" collapsed="false">
      <c r="A11" s="24"/>
      <c r="B11" s="38"/>
      <c r="C11" s="12" t="s">
        <v>12</v>
      </c>
      <c r="D11" s="43" t="s">
        <v>13</v>
      </c>
      <c r="E11" s="44" t="n">
        <f aca="false">E8+E9</f>
        <v>166073.26</v>
      </c>
      <c r="F11" s="45" t="n">
        <f aca="false">F8+F9</f>
        <v>0.206124841493321</v>
      </c>
      <c r="G11" s="44" t="n">
        <f aca="false">G8+G9</f>
        <v>163499.435138889</v>
      </c>
      <c r="H11" s="45" t="n">
        <f aca="false">H8+H9</f>
        <v>0.210955568810433</v>
      </c>
      <c r="I11" s="44" t="n">
        <f aca="false">I8+I9</f>
        <v>158120.102847222</v>
      </c>
      <c r="J11" s="45" t="n">
        <f aca="false">J8+J9</f>
        <v>0.204014871416311</v>
      </c>
      <c r="K11" s="44" t="n">
        <f aca="false">K8+K9</f>
        <v>154893.807083333</v>
      </c>
      <c r="L11" s="45" t="n">
        <f aca="false">L8+L9</f>
        <v>0.199852134967444</v>
      </c>
      <c r="M11" s="33"/>
    </row>
    <row r="12" customFormat="false" ht="4.5" hidden="false" customHeight="true" outlineLevel="0" collapsed="false">
      <c r="A12" s="24"/>
      <c r="B12" s="38"/>
      <c r="C12" s="39"/>
      <c r="D12" s="40"/>
      <c r="E12" s="39"/>
      <c r="F12" s="41"/>
      <c r="G12" s="42"/>
      <c r="H12" s="41"/>
      <c r="I12" s="42"/>
      <c r="J12" s="41"/>
      <c r="K12" s="42"/>
      <c r="L12" s="41"/>
      <c r="M12" s="33"/>
    </row>
    <row r="13" customFormat="false" ht="15" hidden="false" customHeight="true" outlineLevel="0" collapsed="false">
      <c r="A13" s="24"/>
      <c r="B13" s="46" t="s">
        <v>14</v>
      </c>
      <c r="C13" s="26" t="n">
        <f aca="false">207620.91+25065</f>
        <v>232685.91</v>
      </c>
      <c r="D13" s="40"/>
      <c r="E13" s="47"/>
      <c r="F13" s="41"/>
      <c r="G13" s="47"/>
      <c r="H13" s="41"/>
      <c r="I13" s="47"/>
      <c r="J13" s="41"/>
      <c r="K13" s="47"/>
      <c r="L13" s="41"/>
    </row>
    <row r="14" customFormat="false" ht="15" hidden="false" customHeight="false" outlineLevel="0" collapsed="false">
      <c r="A14" s="24"/>
      <c r="B14" s="48" t="s">
        <v>15</v>
      </c>
      <c r="C14" s="49"/>
      <c r="D14" s="27"/>
      <c r="E14" s="49" t="n">
        <v>0</v>
      </c>
      <c r="F14" s="29" t="n">
        <f aca="false">E14*1/$E$24</f>
        <v>0</v>
      </c>
      <c r="G14" s="50" t="n">
        <v>0</v>
      </c>
      <c r="H14" s="29" t="n">
        <f aca="false">G14*1/$G$24</f>
        <v>0</v>
      </c>
      <c r="I14" s="50" t="n">
        <v>0</v>
      </c>
      <c r="J14" s="29" t="n">
        <f aca="false">I14*1/$I$24</f>
        <v>0</v>
      </c>
      <c r="K14" s="50" t="n">
        <v>0</v>
      </c>
      <c r="L14" s="29" t="n">
        <f aca="false">K14*1/$K$24</f>
        <v>0</v>
      </c>
    </row>
    <row r="15" customFormat="false" ht="30.75" hidden="false" customHeight="false" outlineLevel="0" collapsed="false">
      <c r="A15" s="24"/>
      <c r="B15" s="51" t="s">
        <v>16</v>
      </c>
      <c r="C15" s="52" t="n">
        <v>0</v>
      </c>
      <c r="D15" s="27"/>
      <c r="E15" s="52" t="n">
        <f aca="false">C15</f>
        <v>0</v>
      </c>
      <c r="F15" s="53" t="n">
        <f aca="false">E15*1/$E$24</f>
        <v>0</v>
      </c>
      <c r="G15" s="52" t="n">
        <f aca="false">C15</f>
        <v>0</v>
      </c>
      <c r="H15" s="53" t="n">
        <f aca="false">G15*1/$G$24</f>
        <v>0</v>
      </c>
      <c r="I15" s="52" t="n">
        <f aca="false">C15</f>
        <v>0</v>
      </c>
      <c r="J15" s="53" t="n">
        <f aca="false">I15*1/$I$24</f>
        <v>0</v>
      </c>
      <c r="K15" s="52" t="n">
        <f aca="false">C15</f>
        <v>0</v>
      </c>
      <c r="L15" s="53" t="n">
        <f aca="false">K15*1/$K$24</f>
        <v>0</v>
      </c>
    </row>
    <row r="16" customFormat="false" ht="15.75" hidden="false" customHeight="false" outlineLevel="0" collapsed="false">
      <c r="A16" s="54"/>
      <c r="B16" s="55" t="s">
        <v>17</v>
      </c>
      <c r="C16" s="56" t="n">
        <f aca="false">C7+C8+C13+C14+C15</f>
        <v>425979.91</v>
      </c>
      <c r="D16" s="27"/>
      <c r="E16" s="56" t="n">
        <f aca="false">SUM(E7,E8,E9)</f>
        <v>247137.94</v>
      </c>
      <c r="F16" s="57"/>
      <c r="G16" s="58" t="n">
        <f aca="false">SUM(G7:G9,G13:G15)</f>
        <v>244454.525138889</v>
      </c>
      <c r="H16" s="57"/>
      <c r="I16" s="58" t="n">
        <f aca="false">SUM(I7:I9,I13:I15)</f>
        <v>241617.962847222</v>
      </c>
      <c r="J16" s="57"/>
      <c r="K16" s="58" t="n">
        <f aca="false">SUM(K7:K9,K13:K15)</f>
        <v>237927.327083333</v>
      </c>
      <c r="L16" s="57"/>
    </row>
    <row r="17" customFormat="false" ht="3" hidden="false" customHeight="true" outlineLevel="0" collapsed="false">
      <c r="A17" s="59"/>
      <c r="B17" s="60"/>
      <c r="C17" s="61"/>
      <c r="D17" s="27"/>
      <c r="E17" s="61"/>
      <c r="F17" s="57"/>
      <c r="G17" s="61"/>
      <c r="H17" s="57"/>
      <c r="I17" s="61"/>
      <c r="J17" s="57"/>
      <c r="K17" s="61"/>
      <c r="L17" s="57"/>
    </row>
    <row r="18" customFormat="false" ht="15" hidden="false" customHeight="true" outlineLevel="0" collapsed="false">
      <c r="A18" s="62" t="s">
        <v>18</v>
      </c>
      <c r="B18" s="63" t="s">
        <v>19</v>
      </c>
      <c r="C18" s="26" t="n">
        <v>0</v>
      </c>
      <c r="D18" s="27"/>
      <c r="E18" s="26" t="n">
        <f aca="false">C18</f>
        <v>0</v>
      </c>
      <c r="F18" s="64"/>
      <c r="G18" s="28" t="n">
        <v>0</v>
      </c>
      <c r="H18" s="64"/>
      <c r="I18" s="28" t="n">
        <v>0</v>
      </c>
      <c r="J18" s="64"/>
      <c r="K18" s="28" t="n">
        <v>0</v>
      </c>
      <c r="L18" s="39"/>
    </row>
    <row r="19" customFormat="false" ht="12.75" hidden="false" customHeight="true" outlineLevel="0" collapsed="false">
      <c r="A19" s="62"/>
      <c r="B19" s="65" t="s">
        <v>20</v>
      </c>
      <c r="C19" s="66" t="n">
        <v>0</v>
      </c>
      <c r="D19" s="67"/>
      <c r="E19" s="66" t="n">
        <f aca="false">$C$19</f>
        <v>0</v>
      </c>
      <c r="F19" s="64"/>
      <c r="G19" s="66" t="n">
        <f aca="false">$C$19</f>
        <v>0</v>
      </c>
      <c r="H19" s="64"/>
      <c r="I19" s="66" t="n">
        <f aca="false">$C$19</f>
        <v>0</v>
      </c>
      <c r="J19" s="64"/>
      <c r="K19" s="66" t="n">
        <f aca="false">$C$19</f>
        <v>0</v>
      </c>
      <c r="L19" s="64"/>
    </row>
    <row r="20" customFormat="false" ht="15" hidden="false" customHeight="false" outlineLevel="0" collapsed="false">
      <c r="A20" s="62"/>
      <c r="B20" s="68" t="s">
        <v>21</v>
      </c>
      <c r="C20" s="69" t="n">
        <v>0</v>
      </c>
      <c r="D20" s="27"/>
      <c r="E20" s="69" t="n">
        <f aca="false">C20</f>
        <v>0</v>
      </c>
      <c r="F20" s="39"/>
      <c r="G20" s="69" t="n">
        <f aca="false">C20</f>
        <v>0</v>
      </c>
      <c r="H20" s="39"/>
      <c r="I20" s="69" t="n">
        <f aca="false">C20</f>
        <v>0</v>
      </c>
      <c r="J20" s="39"/>
      <c r="K20" s="69" t="n">
        <f aca="false">C20</f>
        <v>0</v>
      </c>
      <c r="L20" s="39"/>
    </row>
    <row r="21" customFormat="false" ht="15" hidden="false" customHeight="false" outlineLevel="0" collapsed="false">
      <c r="A21" s="62"/>
      <c r="B21" s="70" t="s">
        <v>22</v>
      </c>
      <c r="C21" s="69" t="n">
        <v>0</v>
      </c>
      <c r="D21" s="27"/>
      <c r="E21" s="69" t="n">
        <v>0</v>
      </c>
      <c r="F21" s="39"/>
      <c r="G21" s="69" t="n">
        <v>0</v>
      </c>
      <c r="H21" s="39"/>
      <c r="I21" s="69" t="n">
        <v>0</v>
      </c>
      <c r="J21" s="39"/>
      <c r="K21" s="69" t="n">
        <v>0</v>
      </c>
      <c r="L21" s="39"/>
    </row>
    <row r="22" customFormat="false" ht="15.75" hidden="false" customHeight="false" outlineLevel="0" collapsed="false">
      <c r="A22" s="62"/>
      <c r="B22" s="71" t="s">
        <v>23</v>
      </c>
      <c r="C22" s="72" t="n">
        <v>0</v>
      </c>
      <c r="D22" s="27"/>
      <c r="E22" s="72" t="n">
        <v>0</v>
      </c>
      <c r="F22" s="39"/>
      <c r="G22" s="72" t="n">
        <v>0</v>
      </c>
      <c r="H22" s="39"/>
      <c r="I22" s="72" t="n">
        <v>0</v>
      </c>
      <c r="J22" s="39"/>
      <c r="K22" s="72" t="n">
        <v>0</v>
      </c>
      <c r="L22" s="39"/>
    </row>
    <row r="23" customFormat="false" ht="15.75" hidden="false" customHeight="false" outlineLevel="0" collapsed="false">
      <c r="A23" s="62"/>
      <c r="B23" s="73" t="s">
        <v>24</v>
      </c>
      <c r="C23" s="74" t="n">
        <f aca="false">SUM(C18:C22)</f>
        <v>0</v>
      </c>
      <c r="D23" s="9"/>
      <c r="E23" s="74" t="n">
        <f aca="false">SUM(E18:E22)</f>
        <v>0</v>
      </c>
      <c r="F23" s="57"/>
      <c r="G23" s="74" t="n">
        <f aca="false">SUM(G18:G22)</f>
        <v>0</v>
      </c>
      <c r="H23" s="57"/>
      <c r="I23" s="74" t="n">
        <f aca="false">SUM(I18:I22)</f>
        <v>0</v>
      </c>
      <c r="J23" s="57"/>
      <c r="K23" s="75" t="n">
        <f aca="false">SUM(K18:K22)</f>
        <v>0</v>
      </c>
      <c r="L23" s="57"/>
    </row>
    <row r="24" customFormat="false" ht="15.75" hidden="false" customHeight="false" outlineLevel="0" collapsed="false">
      <c r="A24" s="54"/>
      <c r="B24" s="76"/>
      <c r="C24" s="77" t="n">
        <f aca="false">C2+C23</f>
        <v>1110512.81425082</v>
      </c>
      <c r="D24" s="78" t="s">
        <v>25</v>
      </c>
      <c r="E24" s="79" t="n">
        <f aca="false">E6+E23</f>
        <v>805692.602584153</v>
      </c>
      <c r="F24" s="57"/>
      <c r="G24" s="79" t="n">
        <f aca="false">G6+G23</f>
        <v>775042.04350164</v>
      </c>
      <c r="H24" s="57"/>
      <c r="I24" s="79" t="n">
        <f aca="false">I6+I23</f>
        <v>775042.04350164</v>
      </c>
      <c r="J24" s="57"/>
      <c r="K24" s="79" t="n">
        <f aca="false">K6+K23</f>
        <v>775042.04350164</v>
      </c>
      <c r="L24" s="57"/>
      <c r="M24" s="33"/>
    </row>
    <row r="25" customFormat="false" ht="3" hidden="false" customHeight="true" outlineLevel="0" collapsed="false">
      <c r="A25" s="54"/>
      <c r="B25" s="76"/>
      <c r="C25" s="61"/>
      <c r="D25" s="80"/>
      <c r="E25" s="61"/>
      <c r="F25" s="57"/>
      <c r="G25" s="61"/>
      <c r="H25" s="57"/>
      <c r="I25" s="61"/>
      <c r="J25" s="57"/>
      <c r="K25" s="61"/>
      <c r="L25" s="57"/>
    </row>
    <row r="26" customFormat="false" ht="15.75" hidden="false" customHeight="false" outlineLevel="0" collapsed="false">
      <c r="A26" s="54"/>
      <c r="B26" s="76" t="s">
        <v>26</v>
      </c>
      <c r="C26" s="56" t="n">
        <f aca="false">C2-C16</f>
        <v>684532.90425082</v>
      </c>
      <c r="D26" s="80"/>
      <c r="E26" s="56" t="n">
        <f aca="false">E6-E16</f>
        <v>558554.662584153</v>
      </c>
      <c r="F26" s="57"/>
      <c r="G26" s="56" t="n">
        <f aca="false">G6-G16</f>
        <v>530587.518362751</v>
      </c>
      <c r="H26" s="57"/>
      <c r="I26" s="56" t="n">
        <f aca="false">I6-I16</f>
        <v>533424.080654417</v>
      </c>
      <c r="J26" s="57"/>
      <c r="K26" s="56" t="n">
        <f aca="false">K6-K16</f>
        <v>537114.716418306</v>
      </c>
      <c r="L26" s="57"/>
    </row>
    <row r="27" customFormat="false" ht="15.75" hidden="false" customHeight="true" outlineLevel="0" collapsed="false">
      <c r="A27" s="81" t="s">
        <v>27</v>
      </c>
      <c r="B27" s="81"/>
      <c r="C27" s="82" t="n">
        <f aca="false">C23+C26</f>
        <v>684532.90425082</v>
      </c>
      <c r="D27" s="83"/>
      <c r="E27" s="84" t="n">
        <f aca="false">E23+E26</f>
        <v>558554.662584153</v>
      </c>
      <c r="F27" s="57"/>
      <c r="G27" s="84" t="n">
        <f aca="false">G23+G26</f>
        <v>530587.518362751</v>
      </c>
      <c r="H27" s="57"/>
      <c r="I27" s="84" t="n">
        <f aca="false">I23+I26</f>
        <v>533424.080654417</v>
      </c>
      <c r="J27" s="57"/>
      <c r="K27" s="84" t="n">
        <f aca="false">K23+K26</f>
        <v>537114.716418306</v>
      </c>
      <c r="L27" s="57"/>
    </row>
    <row r="28" customFormat="false" ht="15" hidden="false" customHeight="true" outlineLevel="0" collapsed="false">
      <c r="A28" s="24" t="s">
        <v>28</v>
      </c>
      <c r="B28" s="85" t="s">
        <v>29</v>
      </c>
      <c r="C28" s="28" t="n">
        <v>45000</v>
      </c>
      <c r="D28" s="86" t="s">
        <v>30</v>
      </c>
      <c r="E28" s="28" t="n">
        <v>45000</v>
      </c>
      <c r="F28" s="87" t="n">
        <f aca="false">E28*1/$E$24</f>
        <v>0.0558525669165491</v>
      </c>
      <c r="G28" s="88" t="n">
        <f aca="false">I28+((E28-I28)/2)</f>
        <v>37500</v>
      </c>
      <c r="H28" s="87" t="n">
        <f aca="false">G28*1/$G$24</f>
        <v>0.0483844719320968</v>
      </c>
      <c r="I28" s="88" t="n">
        <v>30000</v>
      </c>
      <c r="J28" s="87" t="n">
        <f aca="false">I28*1/$I$24</f>
        <v>0.0387075775456774</v>
      </c>
      <c r="K28" s="89" t="n">
        <v>30000</v>
      </c>
      <c r="L28" s="87" t="n">
        <f aca="false">K28*1/$K$24</f>
        <v>0.0387075775456774</v>
      </c>
    </row>
    <row r="29" customFormat="false" ht="15" hidden="false" customHeight="false" outlineLevel="0" collapsed="false">
      <c r="A29" s="24"/>
      <c r="B29" s="90" t="s">
        <v>31</v>
      </c>
      <c r="C29" s="91"/>
      <c r="D29" s="86" t="s">
        <v>30</v>
      </c>
      <c r="E29" s="91"/>
      <c r="F29" s="92"/>
      <c r="G29" s="93" t="n">
        <f aca="false">I29/2</f>
        <v>7500</v>
      </c>
      <c r="H29" s="94" t="n">
        <f aca="false">G29*1/$G$24</f>
        <v>0.00967689438641935</v>
      </c>
      <c r="I29" s="93" t="n">
        <v>15000</v>
      </c>
      <c r="J29" s="94" t="n">
        <f aca="false">I29*1/$I$24</f>
        <v>0.0193537887728387</v>
      </c>
      <c r="K29" s="95" t="n">
        <v>15000</v>
      </c>
      <c r="L29" s="94" t="n">
        <f aca="false">K29*1/$K$24</f>
        <v>0.0193537887728387</v>
      </c>
    </row>
    <row r="30" customFormat="false" ht="15" hidden="false" customHeight="false" outlineLevel="0" collapsed="false">
      <c r="A30" s="24"/>
      <c r="B30" s="65" t="s">
        <v>32</v>
      </c>
      <c r="C30" s="66" t="n">
        <v>500</v>
      </c>
      <c r="D30" s="86" t="s">
        <v>30</v>
      </c>
      <c r="E30" s="66" t="n">
        <v>500</v>
      </c>
      <c r="F30" s="94" t="n">
        <f aca="false">E30*1/$E$24</f>
        <v>0.000620584076850545</v>
      </c>
      <c r="G30" s="96" t="n">
        <f aca="false">E30/2</f>
        <v>250</v>
      </c>
      <c r="H30" s="94" t="n">
        <f aca="false">G30*1/$G$24</f>
        <v>0.000322563146213978</v>
      </c>
      <c r="I30" s="97"/>
      <c r="J30" s="92"/>
      <c r="K30" s="92"/>
      <c r="L30" s="92"/>
    </row>
    <row r="31" customFormat="false" ht="15" hidden="false" customHeight="false" outlineLevel="0" collapsed="false">
      <c r="A31" s="24"/>
      <c r="B31" s="65" t="s">
        <v>33</v>
      </c>
      <c r="C31" s="66" t="n">
        <v>14074.25</v>
      </c>
      <c r="D31" s="86" t="s">
        <v>30</v>
      </c>
      <c r="E31" s="66" t="n">
        <v>12247.39</v>
      </c>
      <c r="F31" s="94" t="n">
        <f aca="false">E31*1/$E$24</f>
        <v>0.0152010704339572</v>
      </c>
      <c r="G31" s="96" t="n">
        <f aca="false">E31/2</f>
        <v>6123.695</v>
      </c>
      <c r="H31" s="94" t="n">
        <f aca="false">G31*1/$G$24</f>
        <v>0.00790111330261923</v>
      </c>
      <c r="I31" s="97"/>
      <c r="J31" s="92"/>
      <c r="K31" s="92"/>
      <c r="L31" s="92"/>
    </row>
    <row r="32" customFormat="false" ht="15" hidden="false" customHeight="false" outlineLevel="0" collapsed="false">
      <c r="A32" s="24"/>
      <c r="B32" s="65" t="s">
        <v>34</v>
      </c>
      <c r="C32" s="66" t="n">
        <v>0</v>
      </c>
      <c r="D32" s="86" t="s">
        <v>30</v>
      </c>
      <c r="E32" s="66" t="n">
        <v>0</v>
      </c>
      <c r="F32" s="94" t="n">
        <f aca="false">E32*1/$E$24</f>
        <v>0</v>
      </c>
      <c r="G32" s="98" t="n">
        <f aca="false">E32/2</f>
        <v>0</v>
      </c>
      <c r="H32" s="94" t="n">
        <f aca="false">G32*1/$G$24</f>
        <v>0</v>
      </c>
      <c r="I32" s="99"/>
      <c r="J32" s="92"/>
      <c r="K32" s="100"/>
      <c r="L32" s="92"/>
    </row>
    <row r="33" customFormat="false" ht="15.75" hidden="false" customHeight="true" outlineLevel="0" collapsed="false">
      <c r="A33" s="24"/>
      <c r="B33" s="101" t="s">
        <v>35</v>
      </c>
      <c r="C33" s="92"/>
      <c r="D33" s="86" t="s">
        <v>30</v>
      </c>
      <c r="E33" s="92"/>
      <c r="F33" s="92"/>
      <c r="G33" s="102" t="n">
        <v>17500</v>
      </c>
      <c r="H33" s="94" t="n">
        <f aca="false">G33*1/$G$24</f>
        <v>0.0225794202349785</v>
      </c>
      <c r="I33" s="102" t="n">
        <v>35000</v>
      </c>
      <c r="J33" s="94" t="n">
        <f aca="false">I33*1/$I$24</f>
        <v>0.045158840469957</v>
      </c>
      <c r="K33" s="103" t="n">
        <f aca="false">I33</f>
        <v>35000</v>
      </c>
      <c r="L33" s="94" t="n">
        <f aca="false">K33*1/$K$24</f>
        <v>0.045158840469957</v>
      </c>
    </row>
    <row r="34" customFormat="false" ht="15.75" hidden="false" customHeight="true" outlineLevel="0" collapsed="false">
      <c r="A34" s="24"/>
      <c r="B34" s="101" t="s">
        <v>36</v>
      </c>
      <c r="C34" s="92"/>
      <c r="D34" s="86" t="s">
        <v>30</v>
      </c>
      <c r="E34" s="92"/>
      <c r="F34" s="92"/>
      <c r="G34" s="102" t="n">
        <f aca="false">PL!D7/2</f>
        <v>2520</v>
      </c>
      <c r="H34" s="94" t="n">
        <f aca="false">G34*1/$G$24</f>
        <v>0.0032514365138369</v>
      </c>
      <c r="I34" s="102" t="n">
        <f aca="false">PL!D7</f>
        <v>5040</v>
      </c>
      <c r="J34" s="94" t="n">
        <f aca="false">I34*1/$I$24</f>
        <v>0.00650287302767381</v>
      </c>
      <c r="K34" s="103" t="n">
        <f aca="false">I34</f>
        <v>5040</v>
      </c>
      <c r="L34" s="94" t="n">
        <f aca="false">K34*1/$K$24</f>
        <v>0.00650287302767381</v>
      </c>
    </row>
    <row r="35" customFormat="false" ht="15" hidden="false" customHeight="false" outlineLevel="0" collapsed="false">
      <c r="A35" s="24"/>
      <c r="B35" s="101" t="s">
        <v>37</v>
      </c>
      <c r="C35" s="66" t="n">
        <v>23639.87</v>
      </c>
      <c r="D35" s="104"/>
      <c r="E35" s="66" t="n">
        <v>23970.42</v>
      </c>
      <c r="F35" s="94" t="n">
        <f aca="false">E35*1/$E$24</f>
        <v>0.0297513219348397</v>
      </c>
      <c r="G35" s="93" t="n">
        <f aca="false">E35</f>
        <v>23970.42</v>
      </c>
      <c r="H35" s="94" t="n">
        <f aca="false">G35*1/$G$24</f>
        <v>0.0309278963650819</v>
      </c>
      <c r="I35" s="93" t="n">
        <f aca="false">G35</f>
        <v>23970.42</v>
      </c>
      <c r="J35" s="94" t="n">
        <f aca="false">I35*1/$I$24</f>
        <v>0.0309278963650819</v>
      </c>
      <c r="K35" s="95" t="n">
        <f aca="false">G35</f>
        <v>23970.42</v>
      </c>
      <c r="L35" s="94" t="n">
        <f aca="false">K35*1/$K$24</f>
        <v>0.0309278963650819</v>
      </c>
    </row>
    <row r="36" customFormat="false" ht="15" hidden="false" customHeight="false" outlineLevel="0" collapsed="false">
      <c r="A36" s="24"/>
      <c r="B36" s="101" t="s">
        <v>38</v>
      </c>
      <c r="C36" s="66" t="n">
        <v>68114.03</v>
      </c>
      <c r="D36" s="67"/>
      <c r="E36" s="66" t="n">
        <v>63532.86</v>
      </c>
      <c r="F36" s="94" t="n">
        <f aca="false">E36*1/$E$24</f>
        <v>0.0788549625455499</v>
      </c>
      <c r="G36" s="102" t="n">
        <f aca="false">E36</f>
        <v>63532.86</v>
      </c>
      <c r="H36" s="94" t="n">
        <f aca="false">G36*1/$G$24</f>
        <v>0.0819734368382889</v>
      </c>
      <c r="I36" s="102" t="n">
        <f aca="false">G36</f>
        <v>63532.86</v>
      </c>
      <c r="J36" s="94" t="n">
        <f aca="false">I36*1/$I$24</f>
        <v>0.0819734368382889</v>
      </c>
      <c r="K36" s="103" t="n">
        <f aca="false">G36</f>
        <v>63532.86</v>
      </c>
      <c r="L36" s="94" t="n">
        <f aca="false">K36*1/$K$24</f>
        <v>0.0819734368382889</v>
      </c>
    </row>
    <row r="37" customFormat="false" ht="15" hidden="false" customHeight="false" outlineLevel="0" collapsed="false">
      <c r="A37" s="24"/>
      <c r="B37" s="105" t="s">
        <v>39</v>
      </c>
      <c r="C37" s="106" t="n">
        <v>0</v>
      </c>
      <c r="D37" s="67"/>
      <c r="E37" s="106" t="n">
        <v>0</v>
      </c>
      <c r="F37" s="94" t="n">
        <f aca="false">E37*1/$E$24</f>
        <v>0</v>
      </c>
      <c r="G37" s="107" t="n">
        <f aca="false">E37</f>
        <v>0</v>
      </c>
      <c r="H37" s="94" t="n">
        <f aca="false">G37*1/$G$24</f>
        <v>0</v>
      </c>
      <c r="I37" s="107" t="n">
        <f aca="false">G37</f>
        <v>0</v>
      </c>
      <c r="J37" s="94" t="n">
        <f aca="false">I37*1/$I$24</f>
        <v>0</v>
      </c>
      <c r="K37" s="108" t="n">
        <f aca="false">G37</f>
        <v>0</v>
      </c>
      <c r="L37" s="94" t="n">
        <f aca="false">K37*1/$K$24</f>
        <v>0</v>
      </c>
    </row>
    <row r="38" customFormat="false" ht="15.75" hidden="false" customHeight="false" outlineLevel="0" collapsed="false">
      <c r="A38" s="24"/>
      <c r="B38" s="109" t="s">
        <v>40</v>
      </c>
      <c r="C38" s="110" t="n">
        <v>383945.63</v>
      </c>
      <c r="D38" s="111"/>
      <c r="E38" s="110" t="n">
        <v>413303.95</v>
      </c>
      <c r="F38" s="112" t="n">
        <f aca="false">E38*1/$E$24</f>
        <v>0.512979700538868</v>
      </c>
      <c r="G38" s="113" t="n">
        <v>371690</v>
      </c>
      <c r="H38" s="112" t="n">
        <f aca="false">G38*1/$G$24</f>
        <v>0.479573983265094</v>
      </c>
      <c r="I38" s="113" t="n">
        <v>360800</v>
      </c>
      <c r="J38" s="112" t="n">
        <f aca="false">I38*1/$I$24</f>
        <v>0.465523132616013</v>
      </c>
      <c r="K38" s="114" t="n">
        <v>364500</v>
      </c>
      <c r="L38" s="112" t="n">
        <f aca="false">K38*1/$K$24</f>
        <v>0.47029706717998</v>
      </c>
      <c r="M38" s="33"/>
    </row>
    <row r="39" customFormat="false" ht="15.75" hidden="false" customHeight="false" outlineLevel="0" collapsed="false">
      <c r="A39" s="115"/>
      <c r="B39" s="116"/>
      <c r="C39" s="117"/>
      <c r="D39" s="118"/>
      <c r="E39" s="117"/>
      <c r="F39" s="119" t="n">
        <f aca="false">SUM(F7+F11+F14+F15+F28+F30+F31+F32+F35+F36+F37+F38)</f>
        <v>0.999999947145905</v>
      </c>
      <c r="G39" s="117"/>
      <c r="H39" s="119" t="n">
        <f aca="false">SUM(H7+H11+H14+H15+H28+H29+H30+H31+H32+H33+H34+H35+H36+H37+H38)</f>
        <v>0.999999298924806</v>
      </c>
      <c r="I39" s="117"/>
      <c r="J39" s="119" t="n">
        <f aca="false">SUM(J7+J11+J14+J15+J28+J29+J33+J34+J35+J36+J37+J38)</f>
        <v>0.999895746746779</v>
      </c>
      <c r="K39" s="117"/>
      <c r="L39" s="119" t="n">
        <f aca="false">SUM(L7+L11+L14+L15+L28+L29+L33+L34+L35+L36+L37+L38)</f>
        <v>0.999907828976627</v>
      </c>
    </row>
    <row r="40" customFormat="false" ht="13.8" hidden="false" customHeight="false" outlineLevel="0" collapsed="false">
      <c r="A40" s="120"/>
      <c r="B40" s="121" t="s">
        <v>41</v>
      </c>
      <c r="C40" s="122" t="n">
        <f aca="false">SUM(C28:C38)</f>
        <v>535273.78</v>
      </c>
      <c r="D40" s="80"/>
      <c r="E40" s="122" t="n">
        <f aca="false">SUM(E28:E38)</f>
        <v>558554.62</v>
      </c>
      <c r="F40" s="57"/>
      <c r="G40" s="122" t="n">
        <f aca="false">SUM(G28:G38)</f>
        <v>530586.975</v>
      </c>
      <c r="H40" s="57"/>
      <c r="I40" s="122" t="n">
        <f aca="false">SUM(I28:I38)</f>
        <v>533343.28</v>
      </c>
      <c r="J40" s="57"/>
      <c r="K40" s="122" t="n">
        <f aca="false">SUM(K28:K38)</f>
        <v>537043.28</v>
      </c>
      <c r="L40" s="57"/>
    </row>
    <row r="41" customFormat="false" ht="15.75" hidden="false" customHeight="false" outlineLevel="0" collapsed="false">
      <c r="A41" s="120"/>
      <c r="B41" s="121" t="s">
        <v>42</v>
      </c>
      <c r="C41" s="84" t="n">
        <f aca="false">C27-C40</f>
        <v>149259.12425082</v>
      </c>
      <c r="D41" s="80"/>
      <c r="E41" s="84" t="n">
        <f aca="false">E27-E40</f>
        <v>0.0425841532414779</v>
      </c>
      <c r="F41" s="57"/>
      <c r="G41" s="84" t="n">
        <f aca="false">G27-G40</f>
        <v>0.54336275102105</v>
      </c>
      <c r="H41" s="57"/>
      <c r="I41" s="84" t="n">
        <f aca="false">I27-I40</f>
        <v>80.8006544170203</v>
      </c>
      <c r="J41" s="57"/>
      <c r="K41" s="84" t="n">
        <f aca="false">K27-K40</f>
        <v>71.4364183059661</v>
      </c>
      <c r="L41" s="57"/>
    </row>
    <row r="42" customFormat="false" ht="15" hidden="false" customHeight="false" outlineLevel="0" collapsed="false">
      <c r="C42" s="123" t="s">
        <v>43</v>
      </c>
    </row>
    <row r="43" customFormat="false" ht="12.8" hidden="false" customHeight="false" outlineLevel="0" collapsed="false">
      <c r="E43" s="33"/>
      <c r="G43" s="33"/>
      <c r="I43" s="33"/>
      <c r="K43" s="33"/>
    </row>
    <row r="44" customFormat="false" ht="12.8" hidden="false" customHeight="false" outlineLevel="0" collapsed="false">
      <c r="E44" s="33"/>
      <c r="F44" s="33"/>
    </row>
    <row r="45" customFormat="false" ht="12.8" hidden="false" customHeight="false" outlineLevel="0" collapsed="false">
      <c r="G45" s="33"/>
    </row>
  </sheetData>
  <mergeCells count="6">
    <mergeCell ref="A2:B2"/>
    <mergeCell ref="C4:D4"/>
    <mergeCell ref="A7:A15"/>
    <mergeCell ref="A18:A23"/>
    <mergeCell ref="A27:B27"/>
    <mergeCell ref="A28:A38"/>
  </mergeCells>
  <printOptions headings="false" gridLines="false" gridLinesSet="true" horizontalCentered="true" verticalCentered="true"/>
  <pageMargins left="0.157638888888889" right="0.157638888888889" top="0.196527777777778" bottom="0.196527777777778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25" activeCellId="0" sqref="D25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23.01"/>
    <col collapsed="false" customWidth="true" hidden="false" outlineLevel="0" max="2" min="2" style="0" width="8.41"/>
    <col collapsed="false" customWidth="true" hidden="false" outlineLevel="0" max="3" min="3" style="0" width="13.14"/>
    <col collapsed="false" customWidth="true" hidden="false" outlineLevel="0" max="5" min="4" style="0" width="17.86"/>
    <col collapsed="false" customWidth="true" hidden="false" outlineLevel="0" max="13" min="6" style="0" width="10.71"/>
  </cols>
  <sheetData>
    <row r="1" customFormat="false" ht="12.75" hidden="false" customHeight="false" outlineLevel="0" collapsed="false">
      <c r="A1" s="124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customFormat="false" ht="54" hidden="false" customHeight="true" outlineLevel="0" collapsed="false">
      <c r="A2" s="125" t="s">
        <v>45</v>
      </c>
      <c r="B2" s="126" t="s">
        <v>46</v>
      </c>
      <c r="C2" s="126" t="s">
        <v>47</v>
      </c>
      <c r="D2" s="127" t="s">
        <v>48</v>
      </c>
      <c r="E2" s="128" t="s">
        <v>49</v>
      </c>
      <c r="F2" s="126" t="s">
        <v>50</v>
      </c>
      <c r="G2" s="126"/>
      <c r="H2" s="126" t="s">
        <v>51</v>
      </c>
      <c r="I2" s="126"/>
      <c r="J2" s="126" t="s">
        <v>52</v>
      </c>
      <c r="K2" s="126"/>
      <c r="L2" s="126" t="s">
        <v>53</v>
      </c>
      <c r="M2" s="126"/>
    </row>
    <row r="3" customFormat="false" ht="12.75" hidden="false" customHeight="false" outlineLevel="0" collapsed="false">
      <c r="A3" s="129" t="s">
        <v>54</v>
      </c>
      <c r="B3" s="130" t="s">
        <v>55</v>
      </c>
      <c r="C3" s="131" t="n">
        <v>43616</v>
      </c>
      <c r="D3" s="132" t="n">
        <f aca="false">'Quote PEO'!D12+'Quote PEO'!D13</f>
        <v>1154.5625</v>
      </c>
      <c r="E3" s="133" t="n">
        <v>497.52</v>
      </c>
      <c r="F3" s="134" t="n">
        <f aca="false">-D3/12*7</f>
        <v>-673.494791666667</v>
      </c>
      <c r="G3" s="135" t="n">
        <f aca="false">-E3/12*7</f>
        <v>-290.22</v>
      </c>
      <c r="H3" s="134" t="n">
        <f aca="false">-D3</f>
        <v>-1154.5625</v>
      </c>
      <c r="I3" s="135" t="n">
        <f aca="false">-E3</f>
        <v>-497.52</v>
      </c>
      <c r="J3" s="134" t="n">
        <f aca="false">-D3</f>
        <v>-1154.5625</v>
      </c>
      <c r="K3" s="135" t="n">
        <f aca="false">-E3</f>
        <v>-497.52</v>
      </c>
      <c r="L3" s="134" t="n">
        <f aca="false">-D3</f>
        <v>-1154.5625</v>
      </c>
      <c r="M3" s="135" t="n">
        <f aca="false">-E3</f>
        <v>-497.52</v>
      </c>
    </row>
    <row r="4" customFormat="false" ht="12.75" hidden="false" customHeight="false" outlineLevel="0" collapsed="false">
      <c r="A4" s="129" t="s">
        <v>56</v>
      </c>
      <c r="B4" s="130" t="s">
        <v>57</v>
      </c>
      <c r="C4" s="131" t="n">
        <v>43677</v>
      </c>
      <c r="D4" s="132" t="n">
        <f aca="false">SUM('Quote PEO'!D20:D21)</f>
        <v>1115.54083333333</v>
      </c>
      <c r="E4" s="133" t="n">
        <v>426.96</v>
      </c>
      <c r="F4" s="134" t="n">
        <f aca="false">-D4/12*5</f>
        <v>-464.808680555555</v>
      </c>
      <c r="G4" s="135" t="n">
        <f aca="false">-E4/12*5</f>
        <v>-177.9</v>
      </c>
      <c r="H4" s="134" t="n">
        <f aca="false">-D4</f>
        <v>-1115.54083333333</v>
      </c>
      <c r="I4" s="135" t="n">
        <f aca="false">-E4</f>
        <v>-426.96</v>
      </c>
      <c r="J4" s="134" t="n">
        <f aca="false">-D4</f>
        <v>-1115.54083333333</v>
      </c>
      <c r="K4" s="135" t="n">
        <f aca="false">-E4</f>
        <v>-426.96</v>
      </c>
      <c r="L4" s="134" t="n">
        <f aca="false">-D4</f>
        <v>-1115.54083333333</v>
      </c>
      <c r="M4" s="135" t="n">
        <f aca="false">-E4</f>
        <v>-426.96</v>
      </c>
    </row>
    <row r="5" customFormat="false" ht="12.75" hidden="false" customHeight="false" outlineLevel="0" collapsed="false">
      <c r="A5" s="129" t="s">
        <v>58</v>
      </c>
      <c r="B5" s="130" t="s">
        <v>59</v>
      </c>
      <c r="C5" s="131" t="n">
        <v>43677</v>
      </c>
      <c r="D5" s="132" t="n">
        <f aca="false">SUM('Quote PEO'!D19:D21)</f>
        <v>1418.365</v>
      </c>
      <c r="E5" s="133" t="n">
        <v>426.96</v>
      </c>
      <c r="F5" s="134" t="n">
        <f aca="false">-D5/12*5</f>
        <v>-590.985416666668</v>
      </c>
      <c r="G5" s="135" t="n">
        <f aca="false">-E5/12*5</f>
        <v>-177.9</v>
      </c>
      <c r="H5" s="134" t="n">
        <f aca="false">-D5</f>
        <v>-1418.365</v>
      </c>
      <c r="I5" s="135" t="n">
        <f aca="false">-E5</f>
        <v>-426.96</v>
      </c>
      <c r="J5" s="134" t="n">
        <f aca="false">-D5</f>
        <v>-1418.365</v>
      </c>
      <c r="K5" s="135" t="n">
        <f aca="false">-E5</f>
        <v>-426.96</v>
      </c>
      <c r="L5" s="134" t="n">
        <f aca="false">-D5</f>
        <v>-1418.365</v>
      </c>
      <c r="M5" s="135" t="n">
        <f aca="false">-E5</f>
        <v>-426.96</v>
      </c>
    </row>
    <row r="6" customFormat="false" ht="12.75" hidden="false" customHeight="false" outlineLevel="0" collapsed="false">
      <c r="A6" s="129" t="s">
        <v>60</v>
      </c>
      <c r="B6" s="130" t="s">
        <v>61</v>
      </c>
      <c r="C6" s="131" t="n">
        <v>43677</v>
      </c>
      <c r="D6" s="132" t="n">
        <f aca="false">'Quote PEO'!D21</f>
        <v>324.848333333334</v>
      </c>
      <c r="E6" s="133" t="n">
        <v>426.96</v>
      </c>
      <c r="F6" s="134" t="n">
        <f aca="false">-D6/12*5</f>
        <v>-135.353472222222</v>
      </c>
      <c r="G6" s="135" t="n">
        <f aca="false">-E6/12*5</f>
        <v>-177.9</v>
      </c>
      <c r="H6" s="134" t="n">
        <f aca="false">-D6</f>
        <v>-324.848333333334</v>
      </c>
      <c r="I6" s="135" t="n">
        <f aca="false">-E6</f>
        <v>-426.96</v>
      </c>
      <c r="J6" s="134" t="n">
        <f aca="false">-D6</f>
        <v>-324.848333333334</v>
      </c>
      <c r="K6" s="135" t="n">
        <f aca="false">-E6</f>
        <v>-426.96</v>
      </c>
      <c r="L6" s="134" t="n">
        <f aca="false">-D6</f>
        <v>-324.848333333334</v>
      </c>
      <c r="M6" s="135" t="n">
        <f aca="false">-E6</f>
        <v>-426.96</v>
      </c>
    </row>
    <row r="7" customFormat="false" ht="12.75" hidden="false" customHeight="false" outlineLevel="0" collapsed="false">
      <c r="A7" s="129" t="s">
        <v>62</v>
      </c>
      <c r="B7" s="130" t="s">
        <v>63</v>
      </c>
      <c r="C7" s="131" t="n">
        <v>43708</v>
      </c>
      <c r="D7" s="132" t="n">
        <f aca="false">'Quote PEO'!D19</f>
        <v>302.824166666669</v>
      </c>
      <c r="E7" s="133" t="n">
        <v>426.96</v>
      </c>
      <c r="F7" s="134" t="n">
        <f aca="false">-D7/12*4</f>
        <v>-100.94138888889</v>
      </c>
      <c r="G7" s="135" t="n">
        <f aca="false">-E7/12*4</f>
        <v>-142.32</v>
      </c>
      <c r="H7" s="134" t="n">
        <f aca="false">-D7</f>
        <v>-302.824166666669</v>
      </c>
      <c r="I7" s="135" t="n">
        <f aca="false">-E7</f>
        <v>-426.96</v>
      </c>
      <c r="J7" s="134" t="n">
        <f aca="false">-D7</f>
        <v>-302.824166666669</v>
      </c>
      <c r="K7" s="135" t="n">
        <f aca="false">-E7</f>
        <v>-426.96</v>
      </c>
      <c r="L7" s="134" t="n">
        <f aca="false">-D7</f>
        <v>-302.824166666669</v>
      </c>
      <c r="M7" s="135" t="n">
        <f aca="false">-E7</f>
        <v>-426.96</v>
      </c>
    </row>
    <row r="8" customFormat="false" ht="12.75" hidden="false" customHeight="false" outlineLevel="0" collapsed="false">
      <c r="A8" s="129" t="s">
        <v>64</v>
      </c>
      <c r="B8" s="130" t="s">
        <v>65</v>
      </c>
      <c r="C8" s="131" t="n">
        <v>43708</v>
      </c>
      <c r="D8" s="132" t="n">
        <v>0</v>
      </c>
      <c r="E8" s="133" t="n">
        <v>563.4</v>
      </c>
      <c r="F8" s="134" t="n">
        <f aca="false">-D8/12*4</f>
        <v>-0</v>
      </c>
      <c r="G8" s="135" t="n">
        <f aca="false">-E8/12*4</f>
        <v>-187.8</v>
      </c>
      <c r="H8" s="134" t="n">
        <f aca="false">-D8</f>
        <v>-0</v>
      </c>
      <c r="I8" s="135" t="n">
        <f aca="false">-E8</f>
        <v>-563.4</v>
      </c>
      <c r="J8" s="134" t="n">
        <f aca="false">-D8</f>
        <v>-0</v>
      </c>
      <c r="K8" s="135" t="n">
        <f aca="false">-E8</f>
        <v>-563.4</v>
      </c>
      <c r="L8" s="134" t="n">
        <f aca="false">-D8</f>
        <v>-0</v>
      </c>
      <c r="M8" s="135" t="n">
        <f aca="false">-E8</f>
        <v>-563.4</v>
      </c>
    </row>
    <row r="9" customFormat="false" ht="12.75" hidden="false" customHeight="false" outlineLevel="0" collapsed="false">
      <c r="A9" s="129" t="s">
        <v>66</v>
      </c>
      <c r="B9" s="130" t="s">
        <v>57</v>
      </c>
      <c r="C9" s="131" t="n">
        <v>43708</v>
      </c>
      <c r="D9" s="132" t="n">
        <f aca="false">SUM('Quote PEO'!D20:D21)</f>
        <v>1115.54083333333</v>
      </c>
      <c r="E9" s="133" t="n">
        <v>426.96</v>
      </c>
      <c r="F9" s="134" t="n">
        <f aca="false">-D9/12*4</f>
        <v>-371.846944444444</v>
      </c>
      <c r="G9" s="135" t="n">
        <f aca="false">-E9/12*4</f>
        <v>-142.32</v>
      </c>
      <c r="H9" s="134" t="n">
        <f aca="false">-D9</f>
        <v>-1115.54083333333</v>
      </c>
      <c r="I9" s="135" t="n">
        <f aca="false">-E9</f>
        <v>-426.96</v>
      </c>
      <c r="J9" s="134" t="n">
        <f aca="false">-D9</f>
        <v>-1115.54083333333</v>
      </c>
      <c r="K9" s="135" t="n">
        <f aca="false">-E9</f>
        <v>-426.96</v>
      </c>
      <c r="L9" s="134" t="n">
        <f aca="false">-D9</f>
        <v>-1115.54083333333</v>
      </c>
      <c r="M9" s="135" t="n">
        <f aca="false">-E9</f>
        <v>-426.96</v>
      </c>
    </row>
    <row r="10" customFormat="false" ht="13.5" hidden="false" customHeight="false" outlineLevel="0" collapsed="false">
      <c r="A10" s="136" t="s">
        <v>67</v>
      </c>
      <c r="B10" s="137" t="s">
        <v>59</v>
      </c>
      <c r="C10" s="138" t="n">
        <v>43769</v>
      </c>
      <c r="D10" s="139" t="n">
        <f aca="false">SUM('Quote PEO'!D19:D21)</f>
        <v>1418.365</v>
      </c>
      <c r="E10" s="140" t="n">
        <v>426.96</v>
      </c>
      <c r="F10" s="141" t="n">
        <f aca="false">-D10/12*2</f>
        <v>-236.394166666667</v>
      </c>
      <c r="G10" s="142" t="n">
        <f aca="false">-E10/12*2</f>
        <v>-71.16</v>
      </c>
      <c r="H10" s="141" t="n">
        <f aca="false">-D10</f>
        <v>-1418.365</v>
      </c>
      <c r="I10" s="142" t="n">
        <f aca="false">-E10</f>
        <v>-426.96</v>
      </c>
      <c r="J10" s="141" t="n">
        <f aca="false">-D10</f>
        <v>-1418.365</v>
      </c>
      <c r="K10" s="142" t="n">
        <f aca="false">-E10</f>
        <v>-426.96</v>
      </c>
      <c r="L10" s="141" t="n">
        <f aca="false">-D10</f>
        <v>-1418.365</v>
      </c>
      <c r="M10" s="142" t="n">
        <f aca="false">-E10</f>
        <v>-426.96</v>
      </c>
    </row>
    <row r="11" customFormat="false" ht="12.75" hidden="false" customHeight="false" outlineLevel="0" collapsed="false">
      <c r="A11" s="143" t="s">
        <v>68</v>
      </c>
      <c r="B11" s="144" t="s">
        <v>61</v>
      </c>
      <c r="C11" s="145" t="n">
        <v>43861</v>
      </c>
      <c r="D11" s="146" t="n">
        <f aca="false">'Quote PEO'!D21</f>
        <v>324.848333333334</v>
      </c>
      <c r="E11" s="147" t="n">
        <v>426.96</v>
      </c>
      <c r="F11" s="148"/>
      <c r="G11" s="148"/>
      <c r="H11" s="149" t="n">
        <f aca="false">-D11/12*11</f>
        <v>-297.777638888889</v>
      </c>
      <c r="I11" s="150" t="n">
        <f aca="false">-E11/12*11</f>
        <v>-391.38</v>
      </c>
      <c r="J11" s="149" t="n">
        <f aca="false">-D11</f>
        <v>-324.848333333334</v>
      </c>
      <c r="K11" s="150" t="n">
        <f aca="false">-E11</f>
        <v>-426.96</v>
      </c>
      <c r="L11" s="149" t="n">
        <f aca="false">-D11</f>
        <v>-324.848333333334</v>
      </c>
      <c r="M11" s="150" t="n">
        <f aca="false">-E11</f>
        <v>-426.96</v>
      </c>
    </row>
    <row r="12" customFormat="false" ht="12.75" hidden="false" customHeight="false" outlineLevel="0" collapsed="false">
      <c r="A12" s="129" t="s">
        <v>69</v>
      </c>
      <c r="B12" s="130" t="s">
        <v>70</v>
      </c>
      <c r="C12" s="131" t="n">
        <v>43921</v>
      </c>
      <c r="D12" s="132" t="n">
        <f aca="false">SUM('Quote PEO'!D18:D19)</f>
        <v>656.619166666667</v>
      </c>
      <c r="E12" s="133" t="n">
        <v>426.96</v>
      </c>
      <c r="F12" s="151"/>
      <c r="G12" s="151"/>
      <c r="H12" s="134" t="n">
        <f aca="false">-D12/12*9</f>
        <v>-492.464375000001</v>
      </c>
      <c r="I12" s="135" t="n">
        <f aca="false">-E12/12*9</f>
        <v>-320.22</v>
      </c>
      <c r="J12" s="134" t="n">
        <f aca="false">-D12</f>
        <v>-656.619166666667</v>
      </c>
      <c r="K12" s="135" t="n">
        <f aca="false">-E12</f>
        <v>-426.96</v>
      </c>
      <c r="L12" s="134" t="n">
        <f aca="false">-D12</f>
        <v>-656.619166666667</v>
      </c>
      <c r="M12" s="135" t="n">
        <f aca="false">-E12</f>
        <v>-426.96</v>
      </c>
    </row>
    <row r="13" customFormat="false" ht="12.75" hidden="false" customHeight="false" outlineLevel="0" collapsed="false">
      <c r="A13" s="129" t="s">
        <v>71</v>
      </c>
      <c r="B13" s="130" t="s">
        <v>72</v>
      </c>
      <c r="C13" s="131" t="n">
        <v>44074</v>
      </c>
      <c r="D13" s="132" t="n">
        <v>0</v>
      </c>
      <c r="E13" s="133" t="n">
        <v>426.96</v>
      </c>
      <c r="F13" s="151"/>
      <c r="G13" s="151"/>
      <c r="H13" s="134" t="n">
        <f aca="false">-D13</f>
        <v>-0</v>
      </c>
      <c r="I13" s="135" t="n">
        <f aca="false">-E13/12*4</f>
        <v>-142.32</v>
      </c>
      <c r="J13" s="134" t="n">
        <f aca="false">-D13</f>
        <v>-0</v>
      </c>
      <c r="K13" s="135" t="n">
        <f aca="false">-E13</f>
        <v>-426.96</v>
      </c>
      <c r="L13" s="134" t="n">
        <f aca="false">-D13</f>
        <v>-0</v>
      </c>
      <c r="M13" s="135" t="n">
        <f aca="false">-E13</f>
        <v>-426.96</v>
      </c>
    </row>
    <row r="14" customFormat="false" ht="12.75" hidden="false" customHeight="false" outlineLevel="0" collapsed="false">
      <c r="A14" s="129" t="s">
        <v>73</v>
      </c>
      <c r="B14" s="130" t="s">
        <v>74</v>
      </c>
      <c r="C14" s="131" t="n">
        <v>44104</v>
      </c>
      <c r="D14" s="132" t="n">
        <f aca="false">SUM('Quote PEO'!D17:D19)</f>
        <v>1034.90833333333</v>
      </c>
      <c r="E14" s="133" t="n">
        <v>426.96</v>
      </c>
      <c r="F14" s="151"/>
      <c r="G14" s="151"/>
      <c r="H14" s="134" t="n">
        <f aca="false">-D14/12*3</f>
        <v>-258.727083333333</v>
      </c>
      <c r="I14" s="135" t="n">
        <f aca="false">-E14/12*3</f>
        <v>-106.74</v>
      </c>
      <c r="J14" s="134" t="n">
        <f aca="false">-D14</f>
        <v>-1034.90833333333</v>
      </c>
      <c r="K14" s="135" t="n">
        <f aca="false">-E14</f>
        <v>-426.96</v>
      </c>
      <c r="L14" s="134" t="n">
        <f aca="false">-D14</f>
        <v>-1034.90833333333</v>
      </c>
      <c r="M14" s="135" t="n">
        <f aca="false">-E14</f>
        <v>-426.96</v>
      </c>
    </row>
    <row r="15" customFormat="false" ht="13.5" hidden="false" customHeight="false" outlineLevel="0" collapsed="false">
      <c r="A15" s="136" t="s">
        <v>75</v>
      </c>
      <c r="B15" s="137" t="s">
        <v>61</v>
      </c>
      <c r="C15" s="138" t="n">
        <v>44135</v>
      </c>
      <c r="D15" s="139" t="n">
        <f aca="false">'Quote PEO'!D21</f>
        <v>324.848333333334</v>
      </c>
      <c r="E15" s="140" t="n">
        <v>426.96</v>
      </c>
      <c r="F15" s="152"/>
      <c r="G15" s="152"/>
      <c r="H15" s="141" t="n">
        <f aca="false">-D15/12*2</f>
        <v>-54.141388888889</v>
      </c>
      <c r="I15" s="142" t="n">
        <f aca="false">-E15/12*2</f>
        <v>-71.16</v>
      </c>
      <c r="J15" s="141" t="n">
        <f aca="false">-D15</f>
        <v>-324.848333333334</v>
      </c>
      <c r="K15" s="142" t="n">
        <f aca="false">-E15</f>
        <v>-426.96</v>
      </c>
      <c r="L15" s="141" t="n">
        <f aca="false">-D15</f>
        <v>-324.848333333334</v>
      </c>
      <c r="M15" s="142" t="n">
        <f aca="false">-E15</f>
        <v>-426.96</v>
      </c>
    </row>
    <row r="16" customFormat="false" ht="12.75" hidden="false" customHeight="false" outlineLevel="0" collapsed="false">
      <c r="A16" s="143" t="s">
        <v>76</v>
      </c>
      <c r="B16" s="144" t="s">
        <v>57</v>
      </c>
      <c r="C16" s="145" t="n">
        <v>44286</v>
      </c>
      <c r="D16" s="146" t="n">
        <f aca="false">SUM('Quote PEO'!D20:D21)</f>
        <v>1115.54083333333</v>
      </c>
      <c r="E16" s="147" t="n">
        <v>426.96</v>
      </c>
      <c r="F16" s="148"/>
      <c r="G16" s="148"/>
      <c r="H16" s="148"/>
      <c r="I16" s="148"/>
      <c r="J16" s="149" t="n">
        <f aca="false">-D16/12*9</f>
        <v>-836.655625</v>
      </c>
      <c r="K16" s="150" t="n">
        <f aca="false">-E16/12*9</f>
        <v>-320.22</v>
      </c>
      <c r="L16" s="149" t="n">
        <f aca="false">-D16</f>
        <v>-1115.54083333333</v>
      </c>
      <c r="M16" s="150" t="n">
        <f aca="false">-E16</f>
        <v>-426.96</v>
      </c>
    </row>
    <row r="17" customFormat="false" ht="12.75" hidden="false" customHeight="false" outlineLevel="0" collapsed="false">
      <c r="A17" s="129" t="s">
        <v>77</v>
      </c>
      <c r="B17" s="130" t="s">
        <v>57</v>
      </c>
      <c r="C17" s="131" t="n">
        <v>44347</v>
      </c>
      <c r="D17" s="132" t="n">
        <f aca="false">SUM('Quote PEO'!D20:D21)</f>
        <v>1115.54083333333</v>
      </c>
      <c r="E17" s="133" t="n">
        <v>426.96</v>
      </c>
      <c r="F17" s="151"/>
      <c r="G17" s="151"/>
      <c r="H17" s="151"/>
      <c r="I17" s="151"/>
      <c r="J17" s="134" t="n">
        <f aca="false">-D17/12*7</f>
        <v>-650.732152777777</v>
      </c>
      <c r="K17" s="135" t="n">
        <f aca="false">-E17/12*7</f>
        <v>-249.06</v>
      </c>
      <c r="L17" s="134" t="n">
        <f aca="false">-D17</f>
        <v>-1115.54083333333</v>
      </c>
      <c r="M17" s="135" t="n">
        <f aca="false">-E17</f>
        <v>-426.96</v>
      </c>
    </row>
    <row r="18" customFormat="false" ht="12.75" hidden="false" customHeight="false" outlineLevel="0" collapsed="false">
      <c r="A18" s="129" t="s">
        <v>78</v>
      </c>
      <c r="B18" s="130" t="s">
        <v>70</v>
      </c>
      <c r="C18" s="131" t="n">
        <v>44377</v>
      </c>
      <c r="D18" s="132" t="n">
        <f aca="false">SUM('Quote PEO'!D18:D19)</f>
        <v>656.619166666667</v>
      </c>
      <c r="E18" s="133" t="n">
        <v>426.96</v>
      </c>
      <c r="F18" s="151"/>
      <c r="G18" s="151"/>
      <c r="H18" s="151"/>
      <c r="I18" s="151"/>
      <c r="J18" s="134" t="n">
        <f aca="false">-D18/12*6</f>
        <v>-328.309583333334</v>
      </c>
      <c r="K18" s="135" t="n">
        <f aca="false">-E18/12*6</f>
        <v>-213.48</v>
      </c>
      <c r="L18" s="134" t="n">
        <f aca="false">-D18</f>
        <v>-656.619166666667</v>
      </c>
      <c r="M18" s="135" t="n">
        <f aca="false">-E18</f>
        <v>-426.96</v>
      </c>
    </row>
    <row r="19" customFormat="false" ht="12.75" hidden="false" customHeight="false" outlineLevel="0" collapsed="false">
      <c r="A19" s="129" t="s">
        <v>79</v>
      </c>
      <c r="B19" s="130" t="s">
        <v>74</v>
      </c>
      <c r="C19" s="131" t="n">
        <v>44500</v>
      </c>
      <c r="D19" s="132" t="n">
        <f aca="false">SUM('Quote PEO'!D17:D19)</f>
        <v>1034.90833333333</v>
      </c>
      <c r="E19" s="133" t="n">
        <v>426.96</v>
      </c>
      <c r="F19" s="151"/>
      <c r="G19" s="151"/>
      <c r="H19" s="151"/>
      <c r="I19" s="151"/>
      <c r="J19" s="134" t="n">
        <f aca="false">-D19/12*2</f>
        <v>-172.484722222222</v>
      </c>
      <c r="K19" s="135" t="n">
        <f aca="false">-E19/12*2</f>
        <v>-71.16</v>
      </c>
      <c r="L19" s="134" t="n">
        <f aca="false">-D19</f>
        <v>-1034.90833333333</v>
      </c>
      <c r="M19" s="135" t="n">
        <f aca="false">-E19</f>
        <v>-426.96</v>
      </c>
    </row>
    <row r="20" customFormat="false" ht="12.75" hidden="false" customHeight="false" outlineLevel="0" collapsed="false">
      <c r="A20" s="153"/>
      <c r="B20" s="153"/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155"/>
    </row>
    <row r="21" customFormat="false" ht="12.75" hidden="false" customHeight="false" outlineLevel="0" collapsed="false">
      <c r="A21" s="155"/>
      <c r="B21" s="155"/>
      <c r="C21" s="155"/>
      <c r="D21" s="155"/>
      <c r="E21" s="156" t="s">
        <v>80</v>
      </c>
      <c r="F21" s="134" t="n">
        <f aca="false">SUM(F3:F19)</f>
        <v>-2573.82486111111</v>
      </c>
      <c r="G21" s="135" t="n">
        <f aca="false">SUM(G3:G19)</f>
        <v>-1367.52</v>
      </c>
      <c r="H21" s="134" t="n">
        <f aca="false">SUM(H3:H19)</f>
        <v>-7953.15715277779</v>
      </c>
      <c r="I21" s="135" t="n">
        <f aca="false">SUM(I3:I19)</f>
        <v>-4654.5</v>
      </c>
      <c r="J21" s="134" t="n">
        <f aca="false">SUM(J3:J19)</f>
        <v>-11179.4529166667</v>
      </c>
      <c r="K21" s="135" t="n">
        <f aca="false">SUM(K3:K19)</f>
        <v>-6611.4</v>
      </c>
      <c r="L21" s="134" t="n">
        <f aca="false">SUM(L3:L19)</f>
        <v>-13113.88</v>
      </c>
      <c r="M21" s="135" t="n">
        <f aca="false">SUM(M3:M19)</f>
        <v>-7465.32</v>
      </c>
    </row>
    <row r="23" customFormat="false" ht="12.75" hidden="false" customHeight="false" outlineLevel="0" collapsed="false">
      <c r="A23" s="124" t="s">
        <v>81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customFormat="false" ht="54" hidden="false" customHeight="true" outlineLevel="0" collapsed="false">
      <c r="A24" s="125" t="s">
        <v>45</v>
      </c>
      <c r="B24" s="126" t="s">
        <v>82</v>
      </c>
      <c r="C24" s="126" t="s">
        <v>83</v>
      </c>
      <c r="D24" s="127" t="s">
        <v>48</v>
      </c>
      <c r="E24" s="128" t="s">
        <v>49</v>
      </c>
      <c r="F24" s="126" t="s">
        <v>50</v>
      </c>
      <c r="G24" s="126"/>
      <c r="H24" s="126" t="s">
        <v>51</v>
      </c>
      <c r="I24" s="126"/>
      <c r="J24" s="126" t="s">
        <v>52</v>
      </c>
      <c r="K24" s="126"/>
      <c r="L24" s="126" t="s">
        <v>53</v>
      </c>
      <c r="M24" s="126"/>
    </row>
    <row r="25" customFormat="false" ht="12.75" hidden="false" customHeight="false" outlineLevel="0" collapsed="false">
      <c r="A25" s="129"/>
      <c r="B25" s="125" t="s">
        <v>84</v>
      </c>
      <c r="C25" s="131" t="n">
        <v>43739</v>
      </c>
      <c r="D25" s="133" t="n">
        <v>0</v>
      </c>
      <c r="E25" s="133" t="n">
        <f aca="false">'quota comparto'!F3</f>
        <v>497.52</v>
      </c>
      <c r="F25" s="134" t="n">
        <f aca="false">D25</f>
        <v>0</v>
      </c>
      <c r="G25" s="135" t="n">
        <f aca="false">E25/12*3</f>
        <v>124.38</v>
      </c>
      <c r="H25" s="134" t="n">
        <f aca="false">D25</f>
        <v>0</v>
      </c>
      <c r="I25" s="135" t="n">
        <f aca="false">E25</f>
        <v>497.52</v>
      </c>
      <c r="J25" s="134" t="n">
        <f aca="false">D25</f>
        <v>0</v>
      </c>
      <c r="K25" s="135" t="n">
        <f aca="false">E25</f>
        <v>497.52</v>
      </c>
      <c r="L25" s="134"/>
      <c r="M25" s="135"/>
    </row>
    <row r="26" customFormat="false" ht="12.75" hidden="false" customHeight="false" outlineLevel="0" collapsed="false">
      <c r="A26" s="129"/>
      <c r="B26" s="125" t="s">
        <v>84</v>
      </c>
      <c r="C26" s="131" t="n">
        <v>43739</v>
      </c>
      <c r="D26" s="133" t="n">
        <v>0</v>
      </c>
      <c r="E26" s="133" t="n">
        <f aca="false">E25</f>
        <v>497.52</v>
      </c>
      <c r="F26" s="134" t="n">
        <f aca="false">D26</f>
        <v>0</v>
      </c>
      <c r="G26" s="135" t="n">
        <f aca="false">E26/12*3</f>
        <v>124.38</v>
      </c>
      <c r="H26" s="134" t="n">
        <f aca="false">D26</f>
        <v>0</v>
      </c>
      <c r="I26" s="135" t="n">
        <f aca="false">E26</f>
        <v>497.52</v>
      </c>
      <c r="J26" s="134" t="n">
        <f aca="false">D26</f>
        <v>0</v>
      </c>
      <c r="K26" s="135" t="n">
        <f aca="false">E26</f>
        <v>497.52</v>
      </c>
      <c r="L26" s="134"/>
      <c r="M26" s="135"/>
    </row>
    <row r="27" customFormat="false" ht="12.75" hidden="false" customHeight="false" outlineLevel="0" collapsed="false">
      <c r="A27" s="129"/>
      <c r="B27" s="125" t="s">
        <v>84</v>
      </c>
      <c r="C27" s="131" t="n">
        <v>43739</v>
      </c>
      <c r="D27" s="133" t="n">
        <v>0</v>
      </c>
      <c r="E27" s="133" t="n">
        <f aca="false">E26</f>
        <v>497.52</v>
      </c>
      <c r="F27" s="134" t="n">
        <f aca="false">D27</f>
        <v>0</v>
      </c>
      <c r="G27" s="135" t="n">
        <f aca="false">E27/12*3</f>
        <v>124.38</v>
      </c>
      <c r="H27" s="134" t="n">
        <f aca="false">D27</f>
        <v>0</v>
      </c>
      <c r="I27" s="135" t="n">
        <f aca="false">E27</f>
        <v>497.52</v>
      </c>
      <c r="J27" s="134" t="n">
        <f aca="false">D27</f>
        <v>0</v>
      </c>
      <c r="K27" s="135" t="n">
        <f aca="false">E27</f>
        <v>497.52</v>
      </c>
      <c r="L27" s="134"/>
      <c r="M27" s="135"/>
    </row>
    <row r="28" customFormat="false" ht="12.75" hidden="false" customHeight="false" outlineLevel="0" collapsed="false">
      <c r="A28" s="129"/>
      <c r="B28" s="125" t="s">
        <v>84</v>
      </c>
      <c r="C28" s="131" t="n">
        <v>43739</v>
      </c>
      <c r="D28" s="133" t="n">
        <v>0</v>
      </c>
      <c r="E28" s="133" t="n">
        <f aca="false">E27</f>
        <v>497.52</v>
      </c>
      <c r="F28" s="134" t="n">
        <f aca="false">D28</f>
        <v>0</v>
      </c>
      <c r="G28" s="135" t="n">
        <f aca="false">E28/12*3</f>
        <v>124.38</v>
      </c>
      <c r="H28" s="134" t="n">
        <f aca="false">D28</f>
        <v>0</v>
      </c>
      <c r="I28" s="135" t="n">
        <f aca="false">E28</f>
        <v>497.52</v>
      </c>
      <c r="J28" s="134" t="n">
        <f aca="false">D28</f>
        <v>0</v>
      </c>
      <c r="K28" s="135" t="n">
        <f aca="false">E28</f>
        <v>497.52</v>
      </c>
      <c r="L28" s="134"/>
      <c r="M28" s="135"/>
    </row>
    <row r="29" customFormat="false" ht="12.75" hidden="false" customHeight="false" outlineLevel="0" collapsed="false">
      <c r="A29" s="129"/>
      <c r="B29" s="125" t="s">
        <v>84</v>
      </c>
      <c r="C29" s="131" t="n">
        <v>43739</v>
      </c>
      <c r="D29" s="133" t="n">
        <v>0</v>
      </c>
      <c r="E29" s="133" t="n">
        <f aca="false">E28</f>
        <v>497.52</v>
      </c>
      <c r="F29" s="134" t="n">
        <f aca="false">D29</f>
        <v>0</v>
      </c>
      <c r="G29" s="135" t="n">
        <f aca="false">E29/12*3</f>
        <v>124.38</v>
      </c>
      <c r="H29" s="134" t="n">
        <f aca="false">D29</f>
        <v>0</v>
      </c>
      <c r="I29" s="135" t="n">
        <f aca="false">E29</f>
        <v>497.52</v>
      </c>
      <c r="J29" s="134" t="n">
        <f aca="false">D29</f>
        <v>0</v>
      </c>
      <c r="K29" s="135" t="n">
        <f aca="false">E29</f>
        <v>497.52</v>
      </c>
      <c r="L29" s="134"/>
      <c r="M29" s="135"/>
    </row>
    <row r="30" customFormat="false" ht="12.75" hidden="false" customHeight="false" outlineLevel="0" collapsed="false">
      <c r="A30" s="129"/>
      <c r="B30" s="125" t="s">
        <v>85</v>
      </c>
      <c r="C30" s="131" t="n">
        <v>43739</v>
      </c>
      <c r="D30" s="133" t="n">
        <v>0</v>
      </c>
      <c r="E30" s="133" t="n">
        <f aca="false">'quota comparto'!F2</f>
        <v>563.4</v>
      </c>
      <c r="F30" s="134" t="n">
        <f aca="false">D30</f>
        <v>0</v>
      </c>
      <c r="G30" s="135" t="n">
        <f aca="false">E30/12*3</f>
        <v>140.85</v>
      </c>
      <c r="H30" s="134" t="n">
        <f aca="false">D30</f>
        <v>0</v>
      </c>
      <c r="I30" s="135" t="n">
        <f aca="false">E30</f>
        <v>563.4</v>
      </c>
      <c r="J30" s="134" t="n">
        <f aca="false">D30</f>
        <v>0</v>
      </c>
      <c r="K30" s="135" t="n">
        <f aca="false">E30</f>
        <v>563.4</v>
      </c>
      <c r="L30" s="134"/>
      <c r="M30" s="135"/>
    </row>
    <row r="31" customFormat="false" ht="12.75" hidden="false" customHeight="false" outlineLevel="0" collapsed="false">
      <c r="A31" s="129"/>
      <c r="B31" s="125" t="s">
        <v>85</v>
      </c>
      <c r="C31" s="131" t="n">
        <v>43739</v>
      </c>
      <c r="D31" s="133" t="n">
        <v>0</v>
      </c>
      <c r="E31" s="133" t="n">
        <f aca="false">E30</f>
        <v>563.4</v>
      </c>
      <c r="F31" s="134" t="n">
        <f aca="false">D31</f>
        <v>0</v>
      </c>
      <c r="G31" s="135" t="n">
        <f aca="false">E31/12*3</f>
        <v>140.85</v>
      </c>
      <c r="H31" s="134" t="n">
        <f aca="false">D31</f>
        <v>0</v>
      </c>
      <c r="I31" s="135" t="n">
        <f aca="false">E31</f>
        <v>563.4</v>
      </c>
      <c r="J31" s="134" t="n">
        <f aca="false">D31</f>
        <v>0</v>
      </c>
      <c r="K31" s="135" t="n">
        <f aca="false">E31</f>
        <v>563.4</v>
      </c>
      <c r="L31" s="134"/>
      <c r="M31" s="135"/>
    </row>
    <row r="32" customFormat="false" ht="12.75" hidden="false" customHeight="false" outlineLevel="0" collapsed="false">
      <c r="A32" s="129"/>
      <c r="B32" s="125" t="s">
        <v>85</v>
      </c>
      <c r="C32" s="131" t="n">
        <v>43739</v>
      </c>
      <c r="D32" s="133" t="n">
        <v>0</v>
      </c>
      <c r="E32" s="133" t="n">
        <f aca="false">E31</f>
        <v>563.4</v>
      </c>
      <c r="F32" s="134" t="n">
        <f aca="false">D32</f>
        <v>0</v>
      </c>
      <c r="G32" s="135" t="n">
        <f aca="false">E32/12*3</f>
        <v>140.85</v>
      </c>
      <c r="H32" s="134" t="n">
        <f aca="false">D32</f>
        <v>0</v>
      </c>
      <c r="I32" s="135" t="n">
        <f aca="false">E32</f>
        <v>563.4</v>
      </c>
      <c r="J32" s="134" t="n">
        <f aca="false">D32</f>
        <v>0</v>
      </c>
      <c r="K32" s="135" t="n">
        <f aca="false">E32</f>
        <v>563.4</v>
      </c>
      <c r="L32" s="134"/>
      <c r="M32" s="135"/>
    </row>
    <row r="33" customFormat="false" ht="12.75" hidden="false" customHeight="false" outlineLevel="0" collapsed="false">
      <c r="A33" s="129"/>
      <c r="B33" s="125" t="s">
        <v>86</v>
      </c>
      <c r="C33" s="131" t="n">
        <v>43739</v>
      </c>
      <c r="D33" s="133" t="n">
        <v>0</v>
      </c>
      <c r="E33" s="133" t="n">
        <f aca="false">'quota comparto'!F4</f>
        <v>426.96</v>
      </c>
      <c r="F33" s="134" t="n">
        <f aca="false">D33</f>
        <v>0</v>
      </c>
      <c r="G33" s="135" t="n">
        <f aca="false">E33/12*3</f>
        <v>106.74</v>
      </c>
      <c r="H33" s="134" t="n">
        <f aca="false">D33</f>
        <v>0</v>
      </c>
      <c r="I33" s="135" t="n">
        <f aca="false">E33</f>
        <v>426.96</v>
      </c>
      <c r="J33" s="134" t="n">
        <f aca="false">D33</f>
        <v>0</v>
      </c>
      <c r="K33" s="135" t="n">
        <f aca="false">E33</f>
        <v>426.96</v>
      </c>
      <c r="L33" s="134"/>
      <c r="M33" s="135"/>
    </row>
    <row r="34" customFormat="false" ht="13.5" hidden="false" customHeight="false" outlineLevel="0" collapsed="false">
      <c r="A34" s="136"/>
      <c r="B34" s="157" t="s">
        <v>86</v>
      </c>
      <c r="C34" s="138" t="n">
        <v>43739</v>
      </c>
      <c r="D34" s="140" t="n">
        <v>0</v>
      </c>
      <c r="E34" s="140" t="n">
        <f aca="false">E33</f>
        <v>426.96</v>
      </c>
      <c r="F34" s="141" t="n">
        <f aca="false">D34</f>
        <v>0</v>
      </c>
      <c r="G34" s="142" t="n">
        <f aca="false">E34/12*3</f>
        <v>106.74</v>
      </c>
      <c r="H34" s="141" t="n">
        <f aca="false">D34</f>
        <v>0</v>
      </c>
      <c r="I34" s="142" t="n">
        <f aca="false">E34</f>
        <v>426.96</v>
      </c>
      <c r="J34" s="141" t="n">
        <f aca="false">D34</f>
        <v>0</v>
      </c>
      <c r="K34" s="142" t="n">
        <f aca="false">E34</f>
        <v>426.96</v>
      </c>
      <c r="L34" s="141"/>
      <c r="M34" s="142"/>
    </row>
    <row r="35" customFormat="false" ht="12.75" hidden="false" customHeight="false" outlineLevel="0" collapsed="false">
      <c r="A35" s="143"/>
      <c r="B35" s="158" t="s">
        <v>84</v>
      </c>
      <c r="C35" s="145" t="n">
        <v>44105</v>
      </c>
      <c r="D35" s="147" t="n">
        <v>0</v>
      </c>
      <c r="E35" s="147" t="n">
        <f aca="false">E25</f>
        <v>497.52</v>
      </c>
      <c r="F35" s="148"/>
      <c r="G35" s="148"/>
      <c r="H35" s="149" t="n">
        <f aca="false">D35</f>
        <v>0</v>
      </c>
      <c r="I35" s="150" t="n">
        <f aca="false">E35</f>
        <v>497.52</v>
      </c>
      <c r="J35" s="149" t="n">
        <f aca="false">D35</f>
        <v>0</v>
      </c>
      <c r="K35" s="150" t="n">
        <f aca="false">E35</f>
        <v>497.52</v>
      </c>
      <c r="L35" s="149"/>
      <c r="M35" s="150"/>
    </row>
    <row r="36" customFormat="false" ht="12.75" hidden="false" customHeight="false" outlineLevel="0" collapsed="false">
      <c r="A36" s="129"/>
      <c r="B36" s="125" t="s">
        <v>84</v>
      </c>
      <c r="C36" s="131" t="n">
        <v>44105</v>
      </c>
      <c r="D36" s="133" t="n">
        <v>0</v>
      </c>
      <c r="E36" s="133" t="n">
        <f aca="false">E26</f>
        <v>497.52</v>
      </c>
      <c r="F36" s="151"/>
      <c r="G36" s="151"/>
      <c r="H36" s="134" t="n">
        <f aca="false">D36</f>
        <v>0</v>
      </c>
      <c r="I36" s="135" t="n">
        <f aca="false">E36</f>
        <v>497.52</v>
      </c>
      <c r="J36" s="134" t="n">
        <f aca="false">D36</f>
        <v>0</v>
      </c>
      <c r="K36" s="135" t="n">
        <f aca="false">E36</f>
        <v>497.52</v>
      </c>
      <c r="L36" s="134"/>
      <c r="M36" s="135"/>
    </row>
    <row r="37" customFormat="false" ht="12.75" hidden="false" customHeight="false" outlineLevel="0" collapsed="false">
      <c r="A37" s="129"/>
      <c r="B37" s="125" t="s">
        <v>84</v>
      </c>
      <c r="C37" s="145" t="n">
        <v>44105</v>
      </c>
      <c r="D37" s="133" t="n">
        <v>0</v>
      </c>
      <c r="E37" s="133" t="n">
        <f aca="false">E27</f>
        <v>497.52</v>
      </c>
      <c r="F37" s="151"/>
      <c r="G37" s="151"/>
      <c r="H37" s="134" t="n">
        <f aca="false">D37</f>
        <v>0</v>
      </c>
      <c r="I37" s="135" t="n">
        <f aca="false">E37</f>
        <v>497.52</v>
      </c>
      <c r="J37" s="134" t="n">
        <f aca="false">D37</f>
        <v>0</v>
      </c>
      <c r="K37" s="135" t="n">
        <f aca="false">E37</f>
        <v>497.52</v>
      </c>
      <c r="L37" s="134"/>
      <c r="M37" s="135"/>
    </row>
    <row r="38" customFormat="false" ht="13.5" hidden="false" customHeight="false" outlineLevel="0" collapsed="false">
      <c r="A38" s="136"/>
      <c r="B38" s="157" t="s">
        <v>85</v>
      </c>
      <c r="C38" s="138" t="n">
        <v>44105</v>
      </c>
      <c r="D38" s="140" t="n">
        <v>0</v>
      </c>
      <c r="E38" s="140" t="n">
        <f aca="false">E32</f>
        <v>563.4</v>
      </c>
      <c r="F38" s="152"/>
      <c r="G38" s="152"/>
      <c r="H38" s="141" t="n">
        <f aca="false">D38</f>
        <v>0</v>
      </c>
      <c r="I38" s="142" t="n">
        <f aca="false">E38</f>
        <v>563.4</v>
      </c>
      <c r="J38" s="141" t="n">
        <f aca="false">D38</f>
        <v>0</v>
      </c>
      <c r="K38" s="142" t="n">
        <f aca="false">E38</f>
        <v>563.4</v>
      </c>
      <c r="L38" s="141"/>
      <c r="M38" s="142"/>
    </row>
    <row r="39" customFormat="false" ht="12.75" hidden="false" customHeight="false" outlineLevel="0" collapsed="false">
      <c r="A39" s="143"/>
      <c r="B39" s="158" t="s">
        <v>84</v>
      </c>
      <c r="C39" s="145" t="n">
        <v>44470</v>
      </c>
      <c r="D39" s="147" t="n">
        <v>0</v>
      </c>
      <c r="E39" s="147" t="n">
        <f aca="false">E25</f>
        <v>497.52</v>
      </c>
      <c r="F39" s="148"/>
      <c r="G39" s="148"/>
      <c r="H39" s="148"/>
      <c r="I39" s="148"/>
      <c r="J39" s="149" t="n">
        <f aca="false">D39</f>
        <v>0</v>
      </c>
      <c r="K39" s="150" t="n">
        <f aca="false">E39</f>
        <v>497.52</v>
      </c>
      <c r="L39" s="149"/>
      <c r="M39" s="150"/>
    </row>
    <row r="40" customFormat="false" ht="12.75" hidden="false" customHeight="false" outlineLevel="0" collapsed="false">
      <c r="A40" s="129"/>
      <c r="B40" s="125" t="s">
        <v>84</v>
      </c>
      <c r="C40" s="131" t="n">
        <v>44470</v>
      </c>
      <c r="D40" s="133" t="n">
        <v>0</v>
      </c>
      <c r="E40" s="133" t="n">
        <f aca="false">E39</f>
        <v>497.52</v>
      </c>
      <c r="F40" s="151"/>
      <c r="G40" s="151"/>
      <c r="H40" s="151"/>
      <c r="I40" s="151"/>
      <c r="J40" s="134" t="n">
        <f aca="false">D40</f>
        <v>0</v>
      </c>
      <c r="K40" s="135" t="n">
        <f aca="false">E40</f>
        <v>497.52</v>
      </c>
      <c r="L40" s="134"/>
      <c r="M40" s="135"/>
    </row>
    <row r="41" customFormat="false" ht="12.75" hidden="false" customHeight="false" outlineLevel="0" collapsed="false">
      <c r="A41" s="129"/>
      <c r="B41" s="125" t="s">
        <v>84</v>
      </c>
      <c r="C41" s="145" t="n">
        <v>44470</v>
      </c>
      <c r="D41" s="133" t="n">
        <v>0</v>
      </c>
      <c r="E41" s="133" t="n">
        <f aca="false">E40</f>
        <v>497.52</v>
      </c>
      <c r="F41" s="151"/>
      <c r="G41" s="151"/>
      <c r="H41" s="151"/>
      <c r="I41" s="151"/>
      <c r="J41" s="134" t="n">
        <f aca="false">D41</f>
        <v>0</v>
      </c>
      <c r="K41" s="135" t="n">
        <f aca="false">E41</f>
        <v>497.52</v>
      </c>
      <c r="L41" s="134"/>
      <c r="M41" s="135"/>
    </row>
    <row r="42" customFormat="false" ht="12.75" hidden="false" customHeight="false" outlineLevel="0" collapsed="false">
      <c r="A42" s="159"/>
      <c r="B42" s="159"/>
      <c r="C42" s="154"/>
      <c r="D42" s="160"/>
      <c r="E42" s="160"/>
      <c r="F42" s="160"/>
      <c r="G42" s="160"/>
      <c r="H42" s="160"/>
      <c r="I42" s="160"/>
      <c r="J42" s="160"/>
      <c r="K42" s="160"/>
      <c r="L42" s="160"/>
      <c r="M42" s="160"/>
    </row>
    <row r="43" customFormat="false" ht="12.75" hidden="false" customHeight="false" outlineLevel="0" collapsed="false">
      <c r="E43" s="156" t="s">
        <v>80</v>
      </c>
      <c r="F43" s="134" t="n">
        <f aca="false">SUM(F25:F41)</f>
        <v>0</v>
      </c>
      <c r="G43" s="135" t="n">
        <f aca="false">SUM(G25:G41)</f>
        <v>1257.93</v>
      </c>
      <c r="H43" s="134" t="n">
        <f aca="false">SUM(H25:H41)</f>
        <v>0</v>
      </c>
      <c r="I43" s="135" t="n">
        <f aca="false">SUM(I25:I41)</f>
        <v>7087.68</v>
      </c>
      <c r="J43" s="134" t="n">
        <f aca="false">SUM(J25:J41)</f>
        <v>0</v>
      </c>
      <c r="K43" s="135" t="n">
        <f aca="false">SUM(K25:K41)</f>
        <v>8580.24</v>
      </c>
      <c r="L43" s="134" t="n">
        <f aca="false">SUM(L25:L41)</f>
        <v>0</v>
      </c>
      <c r="M43" s="135" t="n">
        <f aca="false">SUM(M25:M41)</f>
        <v>0</v>
      </c>
    </row>
    <row r="44" customFormat="false" ht="12.75" hidden="false" customHeight="false" outlineLevel="0" collapsed="false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</row>
    <row r="45" customFormat="false" ht="12.75" hidden="false" customHeight="false" outlineLevel="0" collapsed="false">
      <c r="A45" s="161"/>
      <c r="B45" s="161"/>
      <c r="C45" s="161"/>
      <c r="D45" s="162" t="s">
        <v>87</v>
      </c>
      <c r="E45" s="162"/>
      <c r="F45" s="134" t="n">
        <f aca="false">F21+F43</f>
        <v>-2573.82486111111</v>
      </c>
      <c r="G45" s="135" t="n">
        <f aca="false">G21+G43</f>
        <v>-109.59</v>
      </c>
      <c r="H45" s="134" t="n">
        <f aca="false">H21+H43</f>
        <v>-7953.15715277779</v>
      </c>
      <c r="I45" s="135" t="n">
        <f aca="false">I21+I43</f>
        <v>2433.18</v>
      </c>
      <c r="J45" s="134" t="n">
        <f aca="false">J21+J43</f>
        <v>-11179.4529166667</v>
      </c>
      <c r="K45" s="135" t="n">
        <f aca="false">K21+K43</f>
        <v>1968.84</v>
      </c>
      <c r="L45" s="134" t="n">
        <f aca="false">L21+L43</f>
        <v>-13113.88</v>
      </c>
      <c r="M45" s="135" t="n">
        <f aca="false">M21+M43</f>
        <v>-7465.32</v>
      </c>
    </row>
    <row r="46" customFormat="false" ht="12.75" hidden="false" customHeight="false" outlineLevel="0" collapsed="false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</row>
  </sheetData>
  <mergeCells count="11">
    <mergeCell ref="A1:M1"/>
    <mergeCell ref="F2:G2"/>
    <mergeCell ref="H2:I2"/>
    <mergeCell ref="J2:K2"/>
    <mergeCell ref="L2:M2"/>
    <mergeCell ref="A23:M23"/>
    <mergeCell ref="F24:G24"/>
    <mergeCell ref="H24:I24"/>
    <mergeCell ref="J24:K24"/>
    <mergeCell ref="L24:M24"/>
    <mergeCell ref="D45:E45"/>
  </mergeCells>
  <printOptions headings="false" gridLines="false" gridLinesSet="true" horizontalCentered="true" verticalCentered="true"/>
  <pageMargins left="0" right="0" top="0" bottom="0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22.01"/>
    <col collapsed="false" customWidth="true" hidden="false" outlineLevel="0" max="2" min="2" style="0" width="8.41"/>
    <col collapsed="false" customWidth="true" hidden="false" outlineLevel="0" max="3" min="3" style="0" width="13.14"/>
    <col collapsed="false" customWidth="true" hidden="false" outlineLevel="0" max="5" min="4" style="0" width="17.86"/>
    <col collapsed="false" customWidth="true" hidden="false" outlineLevel="0" max="13" min="6" style="0" width="10.71"/>
  </cols>
  <sheetData>
    <row r="1" customFormat="false" ht="12.75" hidden="false" customHeight="false" outlineLevel="0" collapsed="false">
      <c r="A1" s="124" t="s">
        <v>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customFormat="false" ht="54" hidden="false" customHeight="true" outlineLevel="0" collapsed="false">
      <c r="A2" s="125" t="s">
        <v>45</v>
      </c>
      <c r="B2" s="126" t="s">
        <v>46</v>
      </c>
      <c r="C2" s="126" t="s">
        <v>47</v>
      </c>
      <c r="D2" s="127" t="s">
        <v>89</v>
      </c>
      <c r="E2" s="128" t="s">
        <v>90</v>
      </c>
      <c r="F2" s="126" t="s">
        <v>50</v>
      </c>
      <c r="G2" s="126"/>
      <c r="H2" s="126" t="s">
        <v>51</v>
      </c>
      <c r="I2" s="126"/>
      <c r="J2" s="126" t="s">
        <v>52</v>
      </c>
      <c r="K2" s="126"/>
      <c r="L2" s="126" t="s">
        <v>53</v>
      </c>
      <c r="M2" s="126"/>
    </row>
    <row r="3" customFormat="false" ht="12.75" hidden="false" customHeight="false" outlineLevel="0" collapsed="false">
      <c r="A3" s="129" t="s">
        <v>91</v>
      </c>
      <c r="B3" s="125" t="s">
        <v>92</v>
      </c>
      <c r="C3" s="131" t="n">
        <v>43708</v>
      </c>
      <c r="D3" s="133" t="n">
        <f aca="false">30.21*13</f>
        <v>392.73</v>
      </c>
      <c r="E3" s="133"/>
      <c r="F3" s="134" t="n">
        <f aca="false">D3/12*4</f>
        <v>130.91</v>
      </c>
      <c r="G3" s="135" t="n">
        <f aca="false">E3/12*4</f>
        <v>0</v>
      </c>
      <c r="H3" s="134" t="n">
        <f aca="false">D3</f>
        <v>392.73</v>
      </c>
      <c r="I3" s="135" t="n">
        <f aca="false">E3</f>
        <v>0</v>
      </c>
      <c r="J3" s="134" t="n">
        <f aca="false">D3</f>
        <v>392.73</v>
      </c>
      <c r="K3" s="135" t="n">
        <f aca="false">E3</f>
        <v>0</v>
      </c>
      <c r="L3" s="134" t="n">
        <f aca="false">D3</f>
        <v>392.73</v>
      </c>
      <c r="M3" s="135" t="n">
        <f aca="false">E3</f>
        <v>0</v>
      </c>
    </row>
    <row r="4" customFormat="false" ht="12.75" hidden="false" customHeight="false" outlineLevel="0" collapsed="false">
      <c r="A4" s="129" t="s">
        <v>93</v>
      </c>
      <c r="B4" s="125" t="s">
        <v>94</v>
      </c>
      <c r="C4" s="131" t="n">
        <v>43861</v>
      </c>
      <c r="D4" s="133"/>
      <c r="E4" s="133" t="n">
        <f aca="false">14.9*13</f>
        <v>193.7</v>
      </c>
      <c r="F4" s="151"/>
      <c r="G4" s="151"/>
      <c r="H4" s="134" t="n">
        <f aca="false">D4/12*11</f>
        <v>0</v>
      </c>
      <c r="I4" s="135" t="n">
        <f aca="false">E4/12*11</f>
        <v>177.558333333333</v>
      </c>
      <c r="J4" s="134" t="n">
        <f aca="false">D4</f>
        <v>0</v>
      </c>
      <c r="K4" s="135" t="n">
        <f aca="false">E4</f>
        <v>193.7</v>
      </c>
      <c r="L4" s="134" t="n">
        <f aca="false">D4</f>
        <v>0</v>
      </c>
      <c r="M4" s="135" t="n">
        <f aca="false">E4</f>
        <v>193.7</v>
      </c>
    </row>
    <row r="5" customFormat="false" ht="12.75" hidden="false" customHeight="false" outlineLevel="0" collapsed="false">
      <c r="A5" s="129" t="s">
        <v>95</v>
      </c>
      <c r="B5" s="125" t="s">
        <v>59</v>
      </c>
      <c r="C5" s="131" t="n">
        <v>43921</v>
      </c>
      <c r="D5" s="133"/>
      <c r="E5" s="133"/>
      <c r="F5" s="151"/>
      <c r="G5" s="151"/>
      <c r="H5" s="134" t="n">
        <f aca="false">D5/12*9</f>
        <v>0</v>
      </c>
      <c r="I5" s="135" t="n">
        <f aca="false">E5/12*9</f>
        <v>0</v>
      </c>
      <c r="J5" s="134" t="n">
        <f aca="false">D5</f>
        <v>0</v>
      </c>
      <c r="K5" s="135" t="n">
        <f aca="false">E5</f>
        <v>0</v>
      </c>
      <c r="L5" s="134" t="n">
        <f aca="false">D5</f>
        <v>0</v>
      </c>
      <c r="M5" s="135" t="n">
        <f aca="false">E5</f>
        <v>0</v>
      </c>
    </row>
    <row r="6" customFormat="false" ht="12.75" hidden="false" customHeight="false" outlineLevel="0" collapsed="false">
      <c r="A6" s="129" t="s">
        <v>96</v>
      </c>
      <c r="B6" s="125" t="s">
        <v>97</v>
      </c>
      <c r="C6" s="131" t="n">
        <v>44377</v>
      </c>
      <c r="D6" s="133" t="n">
        <f aca="false">52.55*13</f>
        <v>683.15</v>
      </c>
      <c r="E6" s="133"/>
      <c r="F6" s="151"/>
      <c r="G6" s="151"/>
      <c r="H6" s="151"/>
      <c r="I6" s="151"/>
      <c r="J6" s="134" t="n">
        <f aca="false">D6/12*6</f>
        <v>341.575</v>
      </c>
      <c r="K6" s="135" t="n">
        <f aca="false">E6/12*6</f>
        <v>0</v>
      </c>
      <c r="L6" s="134" t="n">
        <f aca="false">D6</f>
        <v>683.15</v>
      </c>
      <c r="M6" s="135" t="n">
        <f aca="false">E6</f>
        <v>0</v>
      </c>
    </row>
    <row r="7" customFormat="false" ht="12.75" hidden="false" customHeight="false" outlineLevel="0" collapsed="false">
      <c r="A7" s="153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customFormat="false" ht="12.75" hidden="false" customHeight="false" outlineLevel="0" collapsed="false">
      <c r="A8" s="155"/>
      <c r="B8" s="155"/>
      <c r="C8" s="155"/>
      <c r="D8" s="155"/>
      <c r="E8" s="156" t="s">
        <v>80</v>
      </c>
      <c r="F8" s="134" t="n">
        <f aca="false">SUM(F3:F6)</f>
        <v>130.91</v>
      </c>
      <c r="G8" s="135" t="n">
        <f aca="false">SUM(G3:G6)</f>
        <v>0</v>
      </c>
      <c r="H8" s="134" t="n">
        <f aca="false">SUM(H3:H6)</f>
        <v>392.73</v>
      </c>
      <c r="I8" s="135" t="n">
        <f aca="false">SUM(I3:I6)</f>
        <v>177.558333333333</v>
      </c>
      <c r="J8" s="134" t="n">
        <f aca="false">SUM(J3:J6)</f>
        <v>734.305</v>
      </c>
      <c r="K8" s="135" t="n">
        <f aca="false">SUM(K3:K6)</f>
        <v>193.7</v>
      </c>
      <c r="L8" s="134" t="n">
        <f aca="false">SUM(L3:L6)</f>
        <v>1075.88</v>
      </c>
      <c r="M8" s="135" t="n">
        <f aca="false">SUM(M3:M6)</f>
        <v>193.7</v>
      </c>
    </row>
    <row r="9" customFormat="false" ht="12.75" hidden="false" customHeight="false" outlineLevel="0" collapsed="false">
      <c r="E9" s="156" t="s">
        <v>98</v>
      </c>
      <c r="F9" s="163" t="n">
        <f aca="false">F8+G8</f>
        <v>130.91</v>
      </c>
      <c r="G9" s="163"/>
      <c r="H9" s="163" t="n">
        <f aca="false">H8+I8</f>
        <v>570.288333333333</v>
      </c>
      <c r="I9" s="163"/>
      <c r="J9" s="163" t="n">
        <f aca="false">J8+K8</f>
        <v>928.005</v>
      </c>
      <c r="K9" s="163"/>
      <c r="L9" s="163" t="n">
        <f aca="false">L8+M8</f>
        <v>1269.58</v>
      </c>
      <c r="M9" s="163"/>
    </row>
  </sheetData>
  <mergeCells count="9">
    <mergeCell ref="A1:M1"/>
    <mergeCell ref="F2:G2"/>
    <mergeCell ref="H2:I2"/>
    <mergeCell ref="J2:K2"/>
    <mergeCell ref="L2:M2"/>
    <mergeCell ref="F9:G9"/>
    <mergeCell ref="H9:I9"/>
    <mergeCell ref="J9:K9"/>
    <mergeCell ref="L9:M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18.85"/>
    <col collapsed="false" customWidth="true" hidden="false" outlineLevel="0" max="2" min="2" style="0" width="11.71"/>
    <col collapsed="false" customWidth="true" hidden="false" outlineLevel="0" max="6" min="3" style="0" width="18.85"/>
  </cols>
  <sheetData>
    <row r="1" customFormat="false" ht="51" hidden="false" customHeight="false" outlineLevel="0" collapsed="false">
      <c r="A1" s="164" t="s">
        <v>99</v>
      </c>
      <c r="B1" s="164" t="s">
        <v>100</v>
      </c>
      <c r="C1" s="165" t="s">
        <v>101</v>
      </c>
      <c r="D1" s="165" t="s">
        <v>102</v>
      </c>
      <c r="E1" s="166" t="s">
        <v>103</v>
      </c>
      <c r="F1" s="166" t="s">
        <v>104</v>
      </c>
    </row>
    <row r="2" customFormat="false" ht="12.75" hidden="false" customHeight="false" outlineLevel="0" collapsed="false">
      <c r="A2" s="167" t="s">
        <v>105</v>
      </c>
      <c r="B2" s="168" t="n">
        <v>1</v>
      </c>
      <c r="C2" s="168" t="n">
        <v>4.95</v>
      </c>
      <c r="D2" s="169" t="n">
        <f aca="false">C2*B2*12</f>
        <v>59.4</v>
      </c>
      <c r="E2" s="168" t="n">
        <f aca="false">39+7.95</f>
        <v>46.95</v>
      </c>
      <c r="F2" s="170" t="n">
        <f aca="false">E2*B2*12</f>
        <v>563.4</v>
      </c>
    </row>
    <row r="3" customFormat="false" ht="12.75" hidden="false" customHeight="false" outlineLevel="0" collapsed="false">
      <c r="A3" s="167" t="s">
        <v>106</v>
      </c>
      <c r="B3" s="168" t="n">
        <v>1</v>
      </c>
      <c r="C3" s="168" t="n">
        <v>4.34</v>
      </c>
      <c r="D3" s="169" t="n">
        <f aca="false">C3*B3*12</f>
        <v>52.08</v>
      </c>
      <c r="E3" s="168" t="n">
        <f aca="false">34.45+7.01</f>
        <v>41.46</v>
      </c>
      <c r="F3" s="170" t="n">
        <f aca="false">E3*B3*12</f>
        <v>497.52</v>
      </c>
    </row>
    <row r="4" customFormat="false" ht="12.75" hidden="false" customHeight="false" outlineLevel="0" collapsed="false">
      <c r="A4" s="167" t="s">
        <v>107</v>
      </c>
      <c r="B4" s="168" t="n">
        <v>1</v>
      </c>
      <c r="C4" s="168" t="n">
        <v>3.73</v>
      </c>
      <c r="D4" s="169" t="n">
        <f aca="false">C4*B4*12</f>
        <v>44.76</v>
      </c>
      <c r="E4" s="168" t="n">
        <f aca="false">29.58+6</f>
        <v>35.58</v>
      </c>
      <c r="F4" s="170" t="n">
        <f aca="false">E4*B4*12</f>
        <v>426.96</v>
      </c>
    </row>
    <row r="5" customFormat="false" ht="12.75" hidden="false" customHeight="false" outlineLevel="0" collapsed="false">
      <c r="A5" s="167" t="s">
        <v>108</v>
      </c>
      <c r="B5" s="168" t="n">
        <v>1</v>
      </c>
      <c r="C5" s="168" t="n">
        <v>3.09</v>
      </c>
      <c r="D5" s="169" t="n">
        <f aca="false">B5*C5*12</f>
        <v>37.08</v>
      </c>
      <c r="E5" s="171" t="n">
        <f aca="false">24.37+4.93</f>
        <v>29.3</v>
      </c>
      <c r="F5" s="170" t="n">
        <f aca="false">E5*B5*12</f>
        <v>351.6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G48" activeCellId="0" sqref="G48"/>
    </sheetView>
  </sheetViews>
  <sheetFormatPr defaultColWidth="8.875" defaultRowHeight="12.75" zeroHeight="false" outlineLevelRow="0" outlineLevelCol="0"/>
  <cols>
    <col collapsed="false" customWidth="true" hidden="false" outlineLevel="0" max="1" min="1" style="172" width="12.57"/>
    <col collapsed="false" customWidth="true" hidden="false" outlineLevel="0" max="4" min="2" style="172" width="18.29"/>
    <col collapsed="false" customWidth="true" hidden="false" outlineLevel="0" max="5" min="5" style="172" width="9.71"/>
    <col collapsed="false" customWidth="true" hidden="false" outlineLevel="0" max="6" min="6" style="172" width="10.99"/>
    <col collapsed="false" customWidth="true" hidden="false" outlineLevel="0" max="7" min="7" style="172" width="18.29"/>
    <col collapsed="false" customWidth="true" hidden="false" outlineLevel="0" max="8" min="8" style="172" width="9.71"/>
    <col collapsed="false" customWidth="true" hidden="false" outlineLevel="0" max="9" min="9" style="172" width="10.99"/>
    <col collapsed="false" customWidth="true" hidden="false" outlineLevel="0" max="10" min="10" style="172" width="18.29"/>
    <col collapsed="false" customWidth="true" hidden="false" outlineLevel="0" max="11" min="11" style="172" width="9.71"/>
    <col collapsed="false" customWidth="true" hidden="false" outlineLevel="0" max="12" min="12" style="172" width="10.99"/>
    <col collapsed="false" customWidth="true" hidden="false" outlineLevel="0" max="13" min="13" style="172" width="20.57"/>
    <col collapsed="false" customWidth="false" hidden="false" outlineLevel="0" max="1025" min="14" style="172" width="8.86"/>
  </cols>
  <sheetData>
    <row r="1" customFormat="false" ht="60.75" hidden="false" customHeight="false" outlineLevel="0" collapsed="false">
      <c r="A1" s="173" t="s">
        <v>109</v>
      </c>
      <c r="B1" s="174" t="s">
        <v>110</v>
      </c>
      <c r="C1" s="174" t="s">
        <v>111</v>
      </c>
      <c r="D1" s="175" t="s">
        <v>112</v>
      </c>
      <c r="E1" s="174" t="s">
        <v>113</v>
      </c>
      <c r="F1" s="176" t="s">
        <v>114</v>
      </c>
      <c r="G1" s="174" t="s">
        <v>115</v>
      </c>
      <c r="H1" s="174" t="s">
        <v>116</v>
      </c>
      <c r="I1" s="176" t="s">
        <v>117</v>
      </c>
      <c r="J1" s="174" t="s">
        <v>118</v>
      </c>
      <c r="K1" s="174" t="s">
        <v>119</v>
      </c>
      <c r="L1" s="176" t="s">
        <v>120</v>
      </c>
      <c r="M1" s="177" t="s">
        <v>121</v>
      </c>
    </row>
    <row r="2" customFormat="false" ht="15" hidden="false" customHeight="false" outlineLevel="0" collapsed="false">
      <c r="A2" s="178" t="s">
        <v>122</v>
      </c>
      <c r="B2" s="179" t="n">
        <v>31138.84</v>
      </c>
      <c r="C2" s="179" t="n">
        <f aca="false">B2-B3</f>
        <v>1500</v>
      </c>
      <c r="D2" s="180" t="n">
        <f aca="false">C2/12*13</f>
        <v>1625</v>
      </c>
      <c r="E2" s="181"/>
      <c r="F2" s="182"/>
      <c r="G2" s="179" t="n">
        <f aca="false">F2*D2</f>
        <v>0</v>
      </c>
      <c r="H2" s="183"/>
      <c r="I2" s="182"/>
      <c r="J2" s="179" t="n">
        <f aca="false">I2*D2</f>
        <v>0</v>
      </c>
      <c r="K2" s="181"/>
      <c r="L2" s="182"/>
      <c r="M2" s="184" t="n">
        <f aca="false">L2*D2</f>
        <v>0</v>
      </c>
    </row>
    <row r="3" customFormat="false" ht="15" hidden="false" customHeight="false" outlineLevel="0" collapsed="false">
      <c r="A3" s="185" t="s">
        <v>123</v>
      </c>
      <c r="B3" s="186" t="n">
        <v>29638.84</v>
      </c>
      <c r="C3" s="186" t="n">
        <f aca="false">B3-B4</f>
        <v>1915.14</v>
      </c>
      <c r="D3" s="187" t="n">
        <f aca="false">C3/12*13</f>
        <v>2074.735</v>
      </c>
      <c r="E3" s="188" t="n">
        <v>0</v>
      </c>
      <c r="F3" s="189"/>
      <c r="G3" s="190" t="n">
        <f aca="false">F3*D3</f>
        <v>0</v>
      </c>
      <c r="H3" s="191" t="n">
        <f aca="false">E3-F2</f>
        <v>0</v>
      </c>
      <c r="I3" s="192"/>
      <c r="J3" s="190" t="n">
        <f aca="false">I3*D3</f>
        <v>0</v>
      </c>
      <c r="K3" s="193" t="n">
        <f aca="false">E3-F2-I2+F3</f>
        <v>0</v>
      </c>
      <c r="L3" s="192"/>
      <c r="M3" s="194" t="n">
        <f aca="false">L3*D3</f>
        <v>0</v>
      </c>
    </row>
    <row r="4" customFormat="false" ht="15" hidden="false" customHeight="false" outlineLevel="0" collapsed="false">
      <c r="A4" s="185" t="s">
        <v>124</v>
      </c>
      <c r="B4" s="186" t="n">
        <v>27723.7</v>
      </c>
      <c r="C4" s="186" t="n">
        <f aca="false">B4-B5</f>
        <v>1184.82</v>
      </c>
      <c r="D4" s="187" t="n">
        <f aca="false">C4/12*13</f>
        <v>1283.555</v>
      </c>
      <c r="E4" s="188" t="n">
        <v>0</v>
      </c>
      <c r="F4" s="195"/>
      <c r="G4" s="190" t="n">
        <f aca="false">F4*D4</f>
        <v>0</v>
      </c>
      <c r="H4" s="191" t="n">
        <f aca="false">E4-F3</f>
        <v>0</v>
      </c>
      <c r="I4" s="192"/>
      <c r="J4" s="190" t="n">
        <f aca="false">I4*D4</f>
        <v>0</v>
      </c>
      <c r="K4" s="193" t="n">
        <f aca="false">E4-F3-I3+F4</f>
        <v>0</v>
      </c>
      <c r="L4" s="192"/>
      <c r="M4" s="194" t="n">
        <f aca="false">L4*D4</f>
        <v>0</v>
      </c>
    </row>
    <row r="5" customFormat="false" ht="15" hidden="false" customHeight="false" outlineLevel="0" collapsed="false">
      <c r="A5" s="185" t="s">
        <v>125</v>
      </c>
      <c r="B5" s="186" t="n">
        <v>26538.88</v>
      </c>
      <c r="C5" s="186" t="n">
        <f aca="false">B5-B6</f>
        <v>1087.02</v>
      </c>
      <c r="D5" s="187" t="n">
        <f aca="false">C5/12*13</f>
        <v>1177.605</v>
      </c>
      <c r="E5" s="188" t="n">
        <v>6</v>
      </c>
      <c r="F5" s="192"/>
      <c r="G5" s="190" t="n">
        <f aca="false">F5*D5</f>
        <v>0</v>
      </c>
      <c r="H5" s="191" t="n">
        <f aca="false">E5-F4</f>
        <v>6</v>
      </c>
      <c r="I5" s="192"/>
      <c r="J5" s="190" t="n">
        <f aca="false">I5*D5</f>
        <v>0</v>
      </c>
      <c r="K5" s="193" t="n">
        <f aca="false">E5-F4-I4+F5</f>
        <v>6</v>
      </c>
      <c r="L5" s="192"/>
      <c r="M5" s="194" t="n">
        <f aca="false">L5*D5</f>
        <v>0</v>
      </c>
    </row>
    <row r="6" customFormat="false" ht="15" hidden="false" customHeight="false" outlineLevel="0" collapsed="false">
      <c r="A6" s="196" t="s">
        <v>126</v>
      </c>
      <c r="B6" s="197" t="n">
        <v>25451.86</v>
      </c>
      <c r="C6" s="198"/>
      <c r="D6" s="198"/>
      <c r="E6" s="199" t="n">
        <v>5</v>
      </c>
      <c r="F6" s="198"/>
      <c r="G6" s="198"/>
      <c r="H6" s="200" t="n">
        <f aca="false">E6-F5</f>
        <v>5</v>
      </c>
      <c r="I6" s="198"/>
      <c r="J6" s="198"/>
      <c r="K6" s="199" t="n">
        <f aca="false">E6-F5-I5</f>
        <v>5</v>
      </c>
      <c r="L6" s="198"/>
      <c r="M6" s="201"/>
    </row>
    <row r="7" customFormat="false" ht="15" hidden="false" customHeight="false" outlineLevel="0" collapsed="false">
      <c r="A7" s="178" t="s">
        <v>122</v>
      </c>
      <c r="B7" s="202" t="n">
        <v>31138.84</v>
      </c>
      <c r="C7" s="179" t="n">
        <f aca="false">B7-B8</f>
        <v>1500</v>
      </c>
      <c r="D7" s="180" t="n">
        <f aca="false">C7/12*13</f>
        <v>1625</v>
      </c>
      <c r="E7" s="181"/>
      <c r="F7" s="182"/>
      <c r="G7" s="179" t="n">
        <f aca="false">F7*D7</f>
        <v>0</v>
      </c>
      <c r="H7" s="183"/>
      <c r="I7" s="182"/>
      <c r="J7" s="179" t="n">
        <f aca="false">I7*D7</f>
        <v>0</v>
      </c>
      <c r="K7" s="181"/>
      <c r="L7" s="182"/>
      <c r="M7" s="184" t="n">
        <f aca="false">L7*D7</f>
        <v>0</v>
      </c>
    </row>
    <row r="8" customFormat="false" ht="15" hidden="false" customHeight="false" outlineLevel="0" collapsed="false">
      <c r="A8" s="185" t="s">
        <v>123</v>
      </c>
      <c r="B8" s="203" t="n">
        <v>29638.84</v>
      </c>
      <c r="C8" s="186" t="n">
        <f aca="false">B8-B9</f>
        <v>1915.14</v>
      </c>
      <c r="D8" s="204" t="n">
        <f aca="false">C8/12*13</f>
        <v>2074.735</v>
      </c>
      <c r="E8" s="193" t="n">
        <v>0</v>
      </c>
      <c r="F8" s="195"/>
      <c r="G8" s="186" t="n">
        <f aca="false">F8*D8</f>
        <v>0</v>
      </c>
      <c r="H8" s="191" t="n">
        <f aca="false">E8-F7</f>
        <v>0</v>
      </c>
      <c r="I8" s="195"/>
      <c r="J8" s="186" t="n">
        <f aca="false">I8*D8</f>
        <v>0</v>
      </c>
      <c r="K8" s="193" t="n">
        <f aca="false">E8-F7-I7+F8</f>
        <v>0</v>
      </c>
      <c r="L8" s="195"/>
      <c r="M8" s="205" t="n">
        <f aca="false">L8*D8</f>
        <v>0</v>
      </c>
      <c r="O8" s="206"/>
      <c r="Q8" s="207"/>
    </row>
    <row r="9" customFormat="false" ht="15" hidden="false" customHeight="false" outlineLevel="0" collapsed="false">
      <c r="A9" s="185" t="s">
        <v>124</v>
      </c>
      <c r="B9" s="203" t="n">
        <v>27723.7</v>
      </c>
      <c r="C9" s="186" t="n">
        <f aca="false">B9-B10</f>
        <v>1184.82</v>
      </c>
      <c r="D9" s="204" t="n">
        <f aca="false">C9/12*13</f>
        <v>1283.555</v>
      </c>
      <c r="E9" s="193" t="n">
        <v>0</v>
      </c>
      <c r="F9" s="195"/>
      <c r="G9" s="186" t="n">
        <f aca="false">F9*D9</f>
        <v>0</v>
      </c>
      <c r="H9" s="191" t="n">
        <f aca="false">E9-F8</f>
        <v>0</v>
      </c>
      <c r="I9" s="195"/>
      <c r="J9" s="186" t="n">
        <f aca="false">I9*D9</f>
        <v>0</v>
      </c>
      <c r="K9" s="193" t="n">
        <f aca="false">E9-F8-I8+F9</f>
        <v>0</v>
      </c>
      <c r="L9" s="195"/>
      <c r="M9" s="205" t="n">
        <f aca="false">L9*D9</f>
        <v>0</v>
      </c>
      <c r="O9" s="206"/>
      <c r="Q9" s="207"/>
    </row>
    <row r="10" customFormat="false" ht="15" hidden="false" customHeight="false" outlineLevel="0" collapsed="false">
      <c r="A10" s="185" t="s">
        <v>125</v>
      </c>
      <c r="B10" s="203" t="n">
        <v>26538.88</v>
      </c>
      <c r="C10" s="186" t="n">
        <f aca="false">B10-B11</f>
        <v>1087.02</v>
      </c>
      <c r="D10" s="204" t="n">
        <f aca="false">C10/12*13</f>
        <v>1177.605</v>
      </c>
      <c r="E10" s="193" t="n">
        <v>0</v>
      </c>
      <c r="F10" s="195"/>
      <c r="G10" s="186" t="n">
        <f aca="false">F10*D10</f>
        <v>0</v>
      </c>
      <c r="H10" s="191" t="n">
        <f aca="false">E10-F9</f>
        <v>0</v>
      </c>
      <c r="I10" s="195"/>
      <c r="J10" s="186" t="n">
        <f aca="false">I10*D10</f>
        <v>0</v>
      </c>
      <c r="K10" s="193" t="n">
        <f aca="false">E10-F9-I9+F10</f>
        <v>0</v>
      </c>
      <c r="L10" s="195"/>
      <c r="M10" s="205" t="n">
        <f aca="false">L10*D10</f>
        <v>0</v>
      </c>
      <c r="R10" s="206"/>
      <c r="S10" s="206"/>
      <c r="T10" s="206"/>
      <c r="U10" s="208"/>
    </row>
    <row r="11" customFormat="false" ht="15" hidden="false" customHeight="false" outlineLevel="0" collapsed="false">
      <c r="A11" s="185" t="s">
        <v>127</v>
      </c>
      <c r="B11" s="203" t="n">
        <v>25451.86</v>
      </c>
      <c r="C11" s="186" t="n">
        <f aca="false">B11-B12</f>
        <v>2231.81</v>
      </c>
      <c r="D11" s="204" t="n">
        <f aca="false">C11/12*13</f>
        <v>2417.79416666667</v>
      </c>
      <c r="E11" s="193" t="n">
        <v>3</v>
      </c>
      <c r="F11" s="195"/>
      <c r="G11" s="186" t="n">
        <f aca="false">F11*D11</f>
        <v>0</v>
      </c>
      <c r="H11" s="191" t="n">
        <f aca="false">E11-F10</f>
        <v>3</v>
      </c>
      <c r="I11" s="195"/>
      <c r="J11" s="186" t="n">
        <f aca="false">I11*D11</f>
        <v>0</v>
      </c>
      <c r="K11" s="193" t="n">
        <f aca="false">E11-F10-I10+F11</f>
        <v>3</v>
      </c>
      <c r="L11" s="195"/>
      <c r="M11" s="205" t="n">
        <f aca="false">L11*D11</f>
        <v>0</v>
      </c>
      <c r="P11" s="206"/>
      <c r="R11" s="206"/>
      <c r="S11" s="206"/>
      <c r="T11" s="206"/>
      <c r="U11" s="208"/>
    </row>
    <row r="12" customFormat="false" ht="15" hidden="false" customHeight="false" outlineLevel="0" collapsed="false">
      <c r="A12" s="185" t="s">
        <v>128</v>
      </c>
      <c r="B12" s="203" t="n">
        <v>23220.05</v>
      </c>
      <c r="C12" s="186" t="n">
        <f aca="false">B12-B13</f>
        <v>1084.58</v>
      </c>
      <c r="D12" s="204" t="n">
        <f aca="false">C12/12*13</f>
        <v>1174.96166666666</v>
      </c>
      <c r="E12" s="193" t="n">
        <v>8</v>
      </c>
      <c r="F12" s="195"/>
      <c r="G12" s="186" t="n">
        <f aca="false">F12*D12</f>
        <v>0</v>
      </c>
      <c r="H12" s="191" t="n">
        <f aca="false">E12-F11</f>
        <v>8</v>
      </c>
      <c r="I12" s="195"/>
      <c r="J12" s="186" t="n">
        <f aca="false">I12*D12</f>
        <v>0</v>
      </c>
      <c r="K12" s="193" t="n">
        <f aca="false">E12-F11-I11+F12</f>
        <v>8</v>
      </c>
      <c r="L12" s="195"/>
      <c r="M12" s="205" t="n">
        <f aca="false">L12*D12</f>
        <v>0</v>
      </c>
      <c r="P12" s="206"/>
      <c r="R12" s="206"/>
      <c r="S12" s="206"/>
      <c r="T12" s="206"/>
      <c r="U12" s="208"/>
    </row>
    <row r="13" customFormat="false" ht="15.75" hidden="false" customHeight="false" outlineLevel="0" collapsed="false">
      <c r="A13" s="196" t="s">
        <v>65</v>
      </c>
      <c r="B13" s="209" t="n">
        <v>22135.47</v>
      </c>
      <c r="C13" s="198"/>
      <c r="D13" s="210"/>
      <c r="E13" s="199" t="n">
        <v>15</v>
      </c>
      <c r="F13" s="198"/>
      <c r="G13" s="198"/>
      <c r="H13" s="200" t="n">
        <f aca="false">E13-F12</f>
        <v>15</v>
      </c>
      <c r="I13" s="198"/>
      <c r="J13" s="198"/>
      <c r="K13" s="199" t="n">
        <f aca="false">E13-F12-I12</f>
        <v>15</v>
      </c>
      <c r="L13" s="198"/>
      <c r="M13" s="201"/>
      <c r="R13" s="206"/>
      <c r="S13" s="206"/>
      <c r="T13" s="206"/>
      <c r="U13" s="208"/>
    </row>
    <row r="14" customFormat="false" ht="15" hidden="false" customHeight="false" outlineLevel="0" collapsed="false">
      <c r="A14" s="178" t="s">
        <v>129</v>
      </c>
      <c r="B14" s="202" t="n">
        <v>23543.2</v>
      </c>
      <c r="C14" s="179" t="n">
        <f aca="false">B14-B15</f>
        <v>640</v>
      </c>
      <c r="D14" s="180" t="n">
        <f aca="false">C14/12*13</f>
        <v>693.333333333333</v>
      </c>
      <c r="E14" s="181"/>
      <c r="F14" s="182"/>
      <c r="G14" s="179" t="n">
        <f aca="false">F14*D14</f>
        <v>0</v>
      </c>
      <c r="H14" s="183"/>
      <c r="I14" s="182"/>
      <c r="J14" s="179" t="n">
        <f aca="false">I14*D14</f>
        <v>0</v>
      </c>
      <c r="K14" s="181"/>
      <c r="L14" s="182"/>
      <c r="M14" s="184" t="n">
        <f aca="false">L14*D14</f>
        <v>0</v>
      </c>
      <c r="R14" s="206"/>
      <c r="S14" s="206"/>
      <c r="T14" s="206"/>
      <c r="U14" s="208"/>
    </row>
    <row r="15" customFormat="false" ht="15" hidden="false" customHeight="false" outlineLevel="0" collapsed="false">
      <c r="A15" s="185" t="s">
        <v>97</v>
      </c>
      <c r="B15" s="203" t="n">
        <v>22903.2</v>
      </c>
      <c r="C15" s="186" t="n">
        <f aca="false">B15-B16</f>
        <v>817.09</v>
      </c>
      <c r="D15" s="204" t="n">
        <f aca="false">C15/12*13</f>
        <v>885.180833333334</v>
      </c>
      <c r="E15" s="193" t="n">
        <v>0</v>
      </c>
      <c r="F15" s="195"/>
      <c r="G15" s="186" t="n">
        <f aca="false">F15*D15</f>
        <v>0</v>
      </c>
      <c r="H15" s="191" t="n">
        <f aca="false">E15-F14</f>
        <v>0</v>
      </c>
      <c r="I15" s="195"/>
      <c r="J15" s="186" t="n">
        <f aca="false">I15*D15</f>
        <v>0</v>
      </c>
      <c r="K15" s="193" t="n">
        <f aca="false">E15-F14-I14+F15</f>
        <v>0</v>
      </c>
      <c r="L15" s="195"/>
      <c r="M15" s="205" t="n">
        <f aca="false">L15*D15</f>
        <v>0</v>
      </c>
      <c r="R15" s="206"/>
      <c r="S15" s="206"/>
      <c r="T15" s="206"/>
      <c r="U15" s="208"/>
    </row>
    <row r="16" customFormat="false" ht="15" hidden="false" customHeight="false" outlineLevel="0" collapsed="false">
      <c r="A16" s="185" t="s">
        <v>130</v>
      </c>
      <c r="B16" s="203" t="n">
        <v>22086.11</v>
      </c>
      <c r="C16" s="186" t="n">
        <f aca="false">B16-B17</f>
        <v>676.290000000001</v>
      </c>
      <c r="D16" s="204" t="n">
        <f aca="false">C16/12*13</f>
        <v>732.647500000001</v>
      </c>
      <c r="E16" s="193" t="n">
        <v>1</v>
      </c>
      <c r="F16" s="195"/>
      <c r="G16" s="186" t="n">
        <f aca="false">F16*D16</f>
        <v>0</v>
      </c>
      <c r="H16" s="191" t="n">
        <f aca="false">E16-F15</f>
        <v>1</v>
      </c>
      <c r="I16" s="195"/>
      <c r="J16" s="186" t="n">
        <f aca="false">I16*D16</f>
        <v>0</v>
      </c>
      <c r="K16" s="193" t="n">
        <f aca="false">E16-F15-I15+F16</f>
        <v>1</v>
      </c>
      <c r="L16" s="195"/>
      <c r="M16" s="205" t="n">
        <f aca="false">L16*D16</f>
        <v>0</v>
      </c>
      <c r="T16" s="211"/>
    </row>
    <row r="17" customFormat="false" ht="15" hidden="false" customHeight="false" outlineLevel="0" collapsed="false">
      <c r="A17" s="185" t="s">
        <v>55</v>
      </c>
      <c r="B17" s="203" t="n">
        <v>21409.82</v>
      </c>
      <c r="C17" s="186" t="n">
        <f aca="false">B17-B18</f>
        <v>580.560000000001</v>
      </c>
      <c r="D17" s="204" t="n">
        <f aca="false">C17/12*13</f>
        <v>628.940000000001</v>
      </c>
      <c r="E17" s="193" t="n">
        <v>10</v>
      </c>
      <c r="F17" s="195"/>
      <c r="G17" s="186" t="n">
        <f aca="false">F17*D17</f>
        <v>0</v>
      </c>
      <c r="H17" s="191" t="n">
        <f aca="false">E17-F16</f>
        <v>10</v>
      </c>
      <c r="I17" s="195"/>
      <c r="J17" s="186" t="n">
        <f aca="false">I17*D17</f>
        <v>0</v>
      </c>
      <c r="K17" s="193" t="n">
        <f aca="false">E17-F16-I16+F17</f>
        <v>10</v>
      </c>
      <c r="L17" s="195"/>
      <c r="M17" s="205" t="n">
        <f aca="false">L17*D17</f>
        <v>0</v>
      </c>
    </row>
    <row r="18" customFormat="false" ht="15" hidden="false" customHeight="false" outlineLevel="0" collapsed="false">
      <c r="A18" s="185" t="s">
        <v>131</v>
      </c>
      <c r="B18" s="203" t="n">
        <v>20829.26</v>
      </c>
      <c r="C18" s="186" t="n">
        <f aca="false">B18-B19</f>
        <v>485.189999999999</v>
      </c>
      <c r="D18" s="204" t="n">
        <f aca="false">C18/12*13</f>
        <v>525.622499999999</v>
      </c>
      <c r="E18" s="193" t="n">
        <v>27</v>
      </c>
      <c r="F18" s="195"/>
      <c r="G18" s="186" t="n">
        <f aca="false">F18*D18</f>
        <v>0</v>
      </c>
      <c r="H18" s="191" t="n">
        <f aca="false">E18-F17</f>
        <v>27</v>
      </c>
      <c r="I18" s="195"/>
      <c r="J18" s="186" t="n">
        <f aca="false">I18*D18</f>
        <v>0</v>
      </c>
      <c r="K18" s="193" t="n">
        <f aca="false">E18-F17-I17+F18</f>
        <v>27</v>
      </c>
      <c r="L18" s="195"/>
      <c r="M18" s="205" t="n">
        <f aca="false">L18*D18</f>
        <v>0</v>
      </c>
    </row>
    <row r="19" customFormat="false" ht="15.75" hidden="false" customHeight="false" outlineLevel="0" collapsed="false">
      <c r="A19" s="196" t="s">
        <v>132</v>
      </c>
      <c r="B19" s="209" t="n">
        <v>20344.07</v>
      </c>
      <c r="C19" s="198"/>
      <c r="D19" s="210"/>
      <c r="E19" s="199" t="n">
        <v>5</v>
      </c>
      <c r="F19" s="198"/>
      <c r="G19" s="198"/>
      <c r="H19" s="200" t="n">
        <f aca="false">E19-F18</f>
        <v>5</v>
      </c>
      <c r="I19" s="198"/>
      <c r="J19" s="198"/>
      <c r="K19" s="199" t="n">
        <f aca="false">E19-F18-I18</f>
        <v>5</v>
      </c>
      <c r="L19" s="198"/>
      <c r="M19" s="201"/>
    </row>
    <row r="20" customFormat="false" ht="15" hidden="false" customHeight="false" outlineLevel="0" collapsed="false">
      <c r="A20" s="178" t="s">
        <v>133</v>
      </c>
      <c r="B20" s="202" t="n">
        <v>21248.24</v>
      </c>
      <c r="C20" s="179" t="n">
        <f aca="false">B20-B21</f>
        <v>460</v>
      </c>
      <c r="D20" s="180" t="n">
        <f aca="false">C20/12*13</f>
        <v>498.333333333333</v>
      </c>
      <c r="E20" s="181"/>
      <c r="F20" s="212"/>
      <c r="G20" s="179" t="n">
        <f aca="false">F20*D20</f>
        <v>0</v>
      </c>
      <c r="H20" s="183"/>
      <c r="I20" s="212"/>
      <c r="J20" s="179" t="n">
        <f aca="false">I20*D20</f>
        <v>0</v>
      </c>
      <c r="K20" s="181"/>
      <c r="L20" s="212"/>
      <c r="M20" s="184" t="n">
        <f aca="false">L20*D20</f>
        <v>0</v>
      </c>
    </row>
    <row r="21" customFormat="false" ht="15" hidden="false" customHeight="false" outlineLevel="0" collapsed="false">
      <c r="A21" s="185" t="s">
        <v>134</v>
      </c>
      <c r="B21" s="203" t="n">
        <v>20788.24</v>
      </c>
      <c r="C21" s="186" t="n">
        <f aca="false">B21-B22</f>
        <v>769.140000000003</v>
      </c>
      <c r="D21" s="204" t="n">
        <f aca="false">C21/12*13</f>
        <v>833.235000000003</v>
      </c>
      <c r="E21" s="193" t="n">
        <v>0</v>
      </c>
      <c r="F21" s="213"/>
      <c r="G21" s="186" t="n">
        <f aca="false">F21*D21</f>
        <v>0</v>
      </c>
      <c r="H21" s="191" t="n">
        <f aca="false">E21-F20</f>
        <v>0</v>
      </c>
      <c r="I21" s="213"/>
      <c r="J21" s="186" t="n">
        <f aca="false">I21*D21</f>
        <v>0</v>
      </c>
      <c r="K21" s="193" t="n">
        <f aca="false">E21-F20-I20+F21</f>
        <v>0</v>
      </c>
      <c r="L21" s="213"/>
      <c r="M21" s="205" t="n">
        <f aca="false">L21*D21</f>
        <v>0</v>
      </c>
    </row>
    <row r="22" customFormat="false" ht="15" hidden="false" customHeight="false" outlineLevel="0" collapsed="false">
      <c r="A22" s="185" t="s">
        <v>135</v>
      </c>
      <c r="B22" s="203" t="n">
        <v>20019.1</v>
      </c>
      <c r="C22" s="186" t="n">
        <f aca="false">B22-B23</f>
        <v>349.189999999999</v>
      </c>
      <c r="D22" s="204" t="n">
        <f aca="false">C22/12*13</f>
        <v>378.289166666665</v>
      </c>
      <c r="E22" s="193" t="n">
        <v>3</v>
      </c>
      <c r="F22" s="213"/>
      <c r="G22" s="186" t="n">
        <f aca="false">F22*D22</f>
        <v>0</v>
      </c>
      <c r="H22" s="191" t="n">
        <f aca="false">E22-F21</f>
        <v>3</v>
      </c>
      <c r="I22" s="213"/>
      <c r="J22" s="186" t="n">
        <f aca="false">I22*D22</f>
        <v>0</v>
      </c>
      <c r="K22" s="193" t="n">
        <f aca="false">E22-F21-I21+F22</f>
        <v>3</v>
      </c>
      <c r="L22" s="213"/>
      <c r="M22" s="205" t="n">
        <f aca="false">L22*D22</f>
        <v>0</v>
      </c>
    </row>
    <row r="23" customFormat="false" ht="15" hidden="false" customHeight="false" outlineLevel="0" collapsed="false">
      <c r="A23" s="185" t="s">
        <v>136</v>
      </c>
      <c r="B23" s="203" t="n">
        <v>19669.91</v>
      </c>
      <c r="C23" s="186" t="n">
        <f aca="false">B23-B24</f>
        <v>326.579999999998</v>
      </c>
      <c r="D23" s="204" t="n">
        <f aca="false">C23/12*13</f>
        <v>353.794999999998</v>
      </c>
      <c r="E23" s="193" t="n">
        <v>10</v>
      </c>
      <c r="F23" s="213"/>
      <c r="G23" s="186" t="n">
        <f aca="false">F23*D23</f>
        <v>0</v>
      </c>
      <c r="H23" s="191" t="n">
        <f aca="false">E23-F22</f>
        <v>10</v>
      </c>
      <c r="I23" s="213"/>
      <c r="J23" s="186" t="n">
        <f aca="false">I23*D23</f>
        <v>0</v>
      </c>
      <c r="K23" s="193" t="n">
        <f aca="false">E23-F22-I22+F23</f>
        <v>10</v>
      </c>
      <c r="L23" s="213"/>
      <c r="M23" s="205" t="n">
        <f aca="false">L23*D23</f>
        <v>0</v>
      </c>
      <c r="P23" s="206"/>
    </row>
    <row r="24" customFormat="false" ht="15" hidden="false" customHeight="false" outlineLevel="0" collapsed="false">
      <c r="A24" s="185" t="s">
        <v>137</v>
      </c>
      <c r="B24" s="203" t="n">
        <v>19343.33</v>
      </c>
      <c r="C24" s="186" t="n">
        <f aca="false">B24-B25</f>
        <v>279.530000000002</v>
      </c>
      <c r="D24" s="204" t="n">
        <f aca="false">C24/12*13</f>
        <v>302.824166666669</v>
      </c>
      <c r="E24" s="193" t="n">
        <v>0</v>
      </c>
      <c r="F24" s="213"/>
      <c r="G24" s="186" t="n">
        <f aca="false">F24*D24</f>
        <v>0</v>
      </c>
      <c r="H24" s="191" t="n">
        <f aca="false">E24-F23</f>
        <v>0</v>
      </c>
      <c r="I24" s="213"/>
      <c r="J24" s="186" t="n">
        <f aca="false">I24*D24</f>
        <v>0</v>
      </c>
      <c r="K24" s="193" t="n">
        <f aca="false">E24-F23-I23+F24</f>
        <v>0</v>
      </c>
      <c r="L24" s="213"/>
      <c r="M24" s="205" t="n">
        <f aca="false">L24*D24</f>
        <v>0</v>
      </c>
      <c r="P24" s="206"/>
    </row>
    <row r="25" customFormat="false" ht="15.75" hidden="false" customHeight="false" outlineLevel="0" collapsed="false">
      <c r="A25" s="196" t="s">
        <v>138</v>
      </c>
      <c r="B25" s="209" t="n">
        <v>19063.8</v>
      </c>
      <c r="C25" s="198"/>
      <c r="D25" s="210"/>
      <c r="E25" s="199" t="n">
        <v>3</v>
      </c>
      <c r="F25" s="198"/>
      <c r="G25" s="198"/>
      <c r="H25" s="200" t="n">
        <f aca="false">E25-F24</f>
        <v>3</v>
      </c>
      <c r="I25" s="198"/>
      <c r="J25" s="198"/>
      <c r="K25" s="199" t="n">
        <f aca="false">E25-F24-I24</f>
        <v>3</v>
      </c>
      <c r="L25" s="198"/>
      <c r="M25" s="201"/>
      <c r="P25" s="206"/>
    </row>
    <row r="26" customFormat="false" ht="15" hidden="false" customHeight="false" outlineLevel="0" collapsed="false">
      <c r="A26" s="178" t="s">
        <v>133</v>
      </c>
      <c r="B26" s="202" t="n">
        <v>21248.24</v>
      </c>
      <c r="C26" s="179" t="n">
        <f aca="false">B26-B27</f>
        <v>460</v>
      </c>
      <c r="D26" s="180" t="n">
        <f aca="false">C26/12*13</f>
        <v>498.333333333333</v>
      </c>
      <c r="E26" s="181"/>
      <c r="F26" s="212"/>
      <c r="G26" s="179" t="n">
        <f aca="false">F26*D26</f>
        <v>0</v>
      </c>
      <c r="H26" s="183"/>
      <c r="I26" s="212"/>
      <c r="J26" s="179" t="n">
        <f aca="false">I26*D26</f>
        <v>0</v>
      </c>
      <c r="K26" s="181"/>
      <c r="L26" s="212"/>
      <c r="M26" s="184" t="n">
        <f aca="false">L26*D26</f>
        <v>0</v>
      </c>
    </row>
    <row r="27" customFormat="false" ht="15" hidden="false" customHeight="false" outlineLevel="0" collapsed="false">
      <c r="A27" s="185" t="s">
        <v>134</v>
      </c>
      <c r="B27" s="203" t="n">
        <v>20788.24</v>
      </c>
      <c r="C27" s="186" t="n">
        <f aca="false">B27-B28</f>
        <v>769.140000000003</v>
      </c>
      <c r="D27" s="204" t="n">
        <f aca="false">C27/12*13</f>
        <v>833.235000000003</v>
      </c>
      <c r="E27" s="193" t="n">
        <v>0</v>
      </c>
      <c r="F27" s="195"/>
      <c r="G27" s="186" t="n">
        <f aca="false">F27*D27</f>
        <v>0</v>
      </c>
      <c r="H27" s="191" t="n">
        <f aca="false">E27-F26</f>
        <v>0</v>
      </c>
      <c r="I27" s="195"/>
      <c r="J27" s="186" t="n">
        <f aca="false">I27*D27</f>
        <v>0</v>
      </c>
      <c r="K27" s="193" t="n">
        <f aca="false">E27-F26-I26+F27</f>
        <v>0</v>
      </c>
      <c r="L27" s="195"/>
      <c r="M27" s="205" t="n">
        <f aca="false">L27*D27</f>
        <v>0</v>
      </c>
    </row>
    <row r="28" customFormat="false" ht="15" hidden="false" customHeight="false" outlineLevel="0" collapsed="false">
      <c r="A28" s="185" t="s">
        <v>135</v>
      </c>
      <c r="B28" s="203" t="n">
        <v>20019.1</v>
      </c>
      <c r="C28" s="186" t="n">
        <f aca="false">B28-B29</f>
        <v>349.189999999999</v>
      </c>
      <c r="D28" s="204" t="n">
        <f aca="false">C28/12*13</f>
        <v>378.289166666665</v>
      </c>
      <c r="E28" s="193" t="n">
        <v>0</v>
      </c>
      <c r="F28" s="195"/>
      <c r="G28" s="186" t="n">
        <f aca="false">F28*D28</f>
        <v>0</v>
      </c>
      <c r="H28" s="191" t="n">
        <f aca="false">E28-F27</f>
        <v>0</v>
      </c>
      <c r="I28" s="195"/>
      <c r="J28" s="186" t="n">
        <f aca="false">I28*D28</f>
        <v>0</v>
      </c>
      <c r="K28" s="193" t="n">
        <f aca="false">E28-F27-I27+F28</f>
        <v>0</v>
      </c>
      <c r="L28" s="195"/>
      <c r="M28" s="205" t="n">
        <f aca="false">L28*D28</f>
        <v>0</v>
      </c>
    </row>
    <row r="29" customFormat="false" ht="15" hidden="false" customHeight="false" outlineLevel="0" collapsed="false">
      <c r="A29" s="185" t="s">
        <v>136</v>
      </c>
      <c r="B29" s="203" t="n">
        <v>19669.91</v>
      </c>
      <c r="C29" s="186" t="n">
        <f aca="false">B29-B30</f>
        <v>326.579999999998</v>
      </c>
      <c r="D29" s="204" t="n">
        <f aca="false">C29/12*13</f>
        <v>353.794999999998</v>
      </c>
      <c r="E29" s="193" t="n">
        <v>0</v>
      </c>
      <c r="F29" s="195"/>
      <c r="G29" s="186" t="n">
        <f aca="false">F29*D29</f>
        <v>0</v>
      </c>
      <c r="H29" s="191" t="n">
        <f aca="false">E29-F28</f>
        <v>0</v>
      </c>
      <c r="I29" s="195"/>
      <c r="J29" s="186" t="n">
        <f aca="false">I29*D29</f>
        <v>0</v>
      </c>
      <c r="K29" s="193" t="n">
        <f aca="false">E29-F28-I28+F29</f>
        <v>0</v>
      </c>
      <c r="L29" s="195"/>
      <c r="M29" s="205" t="n">
        <f aca="false">L29*D29</f>
        <v>0</v>
      </c>
    </row>
    <row r="30" customFormat="false" ht="15" hidden="false" customHeight="false" outlineLevel="0" collapsed="false">
      <c r="A30" s="185" t="s">
        <v>137</v>
      </c>
      <c r="B30" s="203" t="n">
        <v>19343.33</v>
      </c>
      <c r="C30" s="186" t="n">
        <f aca="false">B30-B31</f>
        <v>279.530000000002</v>
      </c>
      <c r="D30" s="204" t="n">
        <f aca="false">C30/12*13</f>
        <v>302.824166666669</v>
      </c>
      <c r="E30" s="193" t="n">
        <v>10</v>
      </c>
      <c r="F30" s="195"/>
      <c r="G30" s="186" t="n">
        <f aca="false">F30*D30</f>
        <v>0</v>
      </c>
      <c r="H30" s="191" t="n">
        <f aca="false">E30-F29</f>
        <v>10</v>
      </c>
      <c r="I30" s="195"/>
      <c r="J30" s="186" t="n">
        <f aca="false">I30*D30</f>
        <v>0</v>
      </c>
      <c r="K30" s="193" t="n">
        <f aca="false">E30-F29-I29+F30</f>
        <v>10</v>
      </c>
      <c r="L30" s="195"/>
      <c r="M30" s="205" t="n">
        <f aca="false">L30*D30</f>
        <v>0</v>
      </c>
    </row>
    <row r="31" customFormat="false" ht="15" hidden="false" customHeight="false" outlineLevel="0" collapsed="false">
      <c r="A31" s="185" t="s">
        <v>139</v>
      </c>
      <c r="B31" s="203" t="n">
        <v>19063.8</v>
      </c>
      <c r="C31" s="186" t="n">
        <f aca="false">B31-B32</f>
        <v>729.869999999999</v>
      </c>
      <c r="D31" s="204" t="n">
        <f aca="false">C31/12*13</f>
        <v>790.692499999999</v>
      </c>
      <c r="E31" s="193" t="n">
        <v>12</v>
      </c>
      <c r="F31" s="195" t="n">
        <v>20</v>
      </c>
      <c r="G31" s="186" t="n">
        <f aca="false">F31*D31</f>
        <v>15813.85</v>
      </c>
      <c r="H31" s="191" t="n">
        <f aca="false">E31-F30</f>
        <v>12</v>
      </c>
      <c r="I31" s="195"/>
      <c r="J31" s="186" t="n">
        <f aca="false">I31*D31</f>
        <v>0</v>
      </c>
      <c r="K31" s="193" t="n">
        <f aca="false">E31-F30-I30+F31</f>
        <v>32</v>
      </c>
      <c r="L31" s="195"/>
      <c r="M31" s="205" t="n">
        <f aca="false">L31*D31</f>
        <v>0</v>
      </c>
    </row>
    <row r="32" customFormat="false" ht="15" hidden="false" customHeight="false" outlineLevel="0" collapsed="false">
      <c r="A32" s="185" t="s">
        <v>61</v>
      </c>
      <c r="B32" s="203" t="n">
        <v>18333.93</v>
      </c>
      <c r="C32" s="186" t="n">
        <f aca="false">B32-B33</f>
        <v>299.860000000001</v>
      </c>
      <c r="D32" s="204" t="n">
        <f aca="false">C32/12*13</f>
        <v>324.848333333334</v>
      </c>
      <c r="E32" s="193" t="n">
        <v>27</v>
      </c>
      <c r="F32" s="195"/>
      <c r="G32" s="186" t="n">
        <f aca="false">F32*D32</f>
        <v>0</v>
      </c>
      <c r="H32" s="191" t="n">
        <f aca="false">E32-F31</f>
        <v>7</v>
      </c>
      <c r="I32" s="195"/>
      <c r="J32" s="186" t="n">
        <f aca="false">I32*D32</f>
        <v>0</v>
      </c>
      <c r="K32" s="193" t="n">
        <f aca="false">E32-F31-I31+F32</f>
        <v>7</v>
      </c>
      <c r="L32" s="195"/>
      <c r="M32" s="205" t="n">
        <f aca="false">L32*D32</f>
        <v>0</v>
      </c>
    </row>
    <row r="33" customFormat="false" ht="15.75" hidden="false" customHeight="false" outlineLevel="0" collapsed="false">
      <c r="A33" s="196" t="s">
        <v>86</v>
      </c>
      <c r="B33" s="209" t="n">
        <v>18034.07</v>
      </c>
      <c r="C33" s="198"/>
      <c r="D33" s="210"/>
      <c r="E33" s="199" t="n">
        <v>12</v>
      </c>
      <c r="F33" s="198"/>
      <c r="G33" s="198"/>
      <c r="H33" s="200" t="n">
        <f aca="false">E33-F32</f>
        <v>12</v>
      </c>
      <c r="I33" s="198"/>
      <c r="J33" s="198"/>
      <c r="K33" s="199" t="n">
        <f aca="false">E33-F32-I32</f>
        <v>12</v>
      </c>
      <c r="L33" s="198"/>
      <c r="M33" s="201"/>
    </row>
    <row r="34" customFormat="false" ht="15" hidden="false" customHeight="false" outlineLevel="0" collapsed="false">
      <c r="A34" s="178" t="s">
        <v>140</v>
      </c>
      <c r="B34" s="202" t="n">
        <v>18661.97</v>
      </c>
      <c r="C34" s="179" t="n">
        <f aca="false">B34-B35</f>
        <v>320</v>
      </c>
      <c r="D34" s="180" t="n">
        <f aca="false">C34/12*13</f>
        <v>346.666666666667</v>
      </c>
      <c r="E34" s="181"/>
      <c r="F34" s="212"/>
      <c r="G34" s="179" t="n">
        <f aca="false">F34*D34</f>
        <v>0</v>
      </c>
      <c r="H34" s="183"/>
      <c r="I34" s="212"/>
      <c r="J34" s="179" t="n">
        <f aca="false">I34*D34</f>
        <v>0</v>
      </c>
      <c r="K34" s="181"/>
      <c r="L34" s="212"/>
      <c r="M34" s="184" t="n">
        <f aca="false">L34*D34</f>
        <v>0</v>
      </c>
    </row>
    <row r="35" customFormat="false" ht="15" hidden="false" customHeight="false" outlineLevel="0" collapsed="false">
      <c r="A35" s="185" t="s">
        <v>141</v>
      </c>
      <c r="B35" s="203" t="n">
        <v>18341.97</v>
      </c>
      <c r="C35" s="186" t="n">
        <f aca="false">B35-B36</f>
        <v>371.43</v>
      </c>
      <c r="D35" s="204" t="n">
        <f aca="false">C35/12*13</f>
        <v>402.3825</v>
      </c>
      <c r="E35" s="193" t="n">
        <v>0</v>
      </c>
      <c r="F35" s="195"/>
      <c r="G35" s="186" t="n">
        <f aca="false">F35*D35</f>
        <v>0</v>
      </c>
      <c r="H35" s="191" t="n">
        <f aca="false">E35-F34</f>
        <v>0</v>
      </c>
      <c r="I35" s="195"/>
      <c r="J35" s="186" t="n">
        <f aca="false">I35*D35</f>
        <v>0</v>
      </c>
      <c r="K35" s="193" t="n">
        <f aca="false">E35-F34-I34+F35</f>
        <v>0</v>
      </c>
      <c r="L35" s="195"/>
      <c r="M35" s="205" t="n">
        <f aca="false">L35*D35</f>
        <v>0</v>
      </c>
    </row>
    <row r="36" customFormat="false" ht="15" hidden="false" customHeight="false" outlineLevel="0" collapsed="false">
      <c r="A36" s="185" t="s">
        <v>142</v>
      </c>
      <c r="B36" s="203" t="n">
        <v>17970.54</v>
      </c>
      <c r="C36" s="186" t="n">
        <f aca="false">B36-B37</f>
        <v>313.98</v>
      </c>
      <c r="D36" s="204" t="n">
        <f aca="false">C36/12*13</f>
        <v>340.145</v>
      </c>
      <c r="E36" s="193" t="n">
        <v>0</v>
      </c>
      <c r="F36" s="195" t="n">
        <v>1</v>
      </c>
      <c r="G36" s="186" t="n">
        <f aca="false">F36*D36</f>
        <v>340.145</v>
      </c>
      <c r="H36" s="191" t="n">
        <f aca="false">E36-F35</f>
        <v>0</v>
      </c>
      <c r="I36" s="195"/>
      <c r="J36" s="186" t="n">
        <f aca="false">I36*D36</f>
        <v>0</v>
      </c>
      <c r="K36" s="193" t="n">
        <f aca="false">E36-F35-I35+F36</f>
        <v>1</v>
      </c>
      <c r="L36" s="195"/>
      <c r="M36" s="205" t="n">
        <f aca="false">L36*D36</f>
        <v>0</v>
      </c>
    </row>
    <row r="37" customFormat="false" ht="15" hidden="false" customHeight="false" outlineLevel="0" collapsed="false">
      <c r="A37" s="185" t="s">
        <v>143</v>
      </c>
      <c r="B37" s="203" t="n">
        <v>17656.56</v>
      </c>
      <c r="C37" s="186" t="n">
        <f aca="false">B37-B38</f>
        <v>366.25</v>
      </c>
      <c r="D37" s="204" t="n">
        <f aca="false">C37/12*13</f>
        <v>396.770833333333</v>
      </c>
      <c r="E37" s="193" t="n">
        <v>2</v>
      </c>
      <c r="F37" s="195"/>
      <c r="G37" s="186" t="n">
        <f aca="false">F37*D37</f>
        <v>0</v>
      </c>
      <c r="H37" s="191" t="n">
        <f aca="false">E37-F36</f>
        <v>1</v>
      </c>
      <c r="I37" s="195"/>
      <c r="J37" s="186" t="n">
        <f aca="false">I37*D37</f>
        <v>0</v>
      </c>
      <c r="K37" s="193" t="n">
        <f aca="false">E37-F36-I36+F37</f>
        <v>1</v>
      </c>
      <c r="L37" s="195"/>
      <c r="M37" s="205" t="n">
        <f aca="false">L37*D37</f>
        <v>0</v>
      </c>
    </row>
    <row r="38" customFormat="false" ht="15" hidden="false" customHeight="false" outlineLevel="0" collapsed="false">
      <c r="A38" s="185" t="s">
        <v>144</v>
      </c>
      <c r="B38" s="203" t="n">
        <v>17290.31</v>
      </c>
      <c r="C38" s="186" t="n">
        <f aca="false">B38-B39</f>
        <v>229.34</v>
      </c>
      <c r="D38" s="204" t="n">
        <f aca="false">C38/12*13</f>
        <v>248.451666666667</v>
      </c>
      <c r="E38" s="193" t="n">
        <v>0</v>
      </c>
      <c r="F38" s="195"/>
      <c r="G38" s="186" t="n">
        <f aca="false">F38*D38</f>
        <v>0</v>
      </c>
      <c r="H38" s="191" t="n">
        <f aca="false">E38-F37</f>
        <v>0</v>
      </c>
      <c r="I38" s="195"/>
      <c r="J38" s="186" t="n">
        <f aca="false">I38*D38</f>
        <v>0</v>
      </c>
      <c r="K38" s="193" t="n">
        <f aca="false">E38-F37-I37+F38</f>
        <v>0</v>
      </c>
      <c r="L38" s="195"/>
      <c r="M38" s="205" t="n">
        <f aca="false">L38*D38</f>
        <v>0</v>
      </c>
    </row>
    <row r="39" customFormat="false" ht="15.75" hidden="false" customHeight="false" outlineLevel="0" collapsed="false">
      <c r="A39" s="196" t="s">
        <v>145</v>
      </c>
      <c r="B39" s="209" t="n">
        <v>17060.97</v>
      </c>
      <c r="C39" s="198"/>
      <c r="D39" s="210"/>
      <c r="E39" s="199" t="n">
        <v>0</v>
      </c>
      <c r="F39" s="198"/>
      <c r="G39" s="198"/>
      <c r="H39" s="200"/>
      <c r="I39" s="198"/>
      <c r="J39" s="198"/>
      <c r="K39" s="199" t="n">
        <f aca="false">E39-F38-I38</f>
        <v>0</v>
      </c>
      <c r="L39" s="198"/>
      <c r="M39" s="201"/>
    </row>
    <row r="40" customFormat="false" ht="15" hidden="false" customHeight="false" outlineLevel="0" collapsed="false">
      <c r="A40" s="214"/>
      <c r="B40" s="214"/>
      <c r="C40" s="214"/>
      <c r="D40" s="215" t="s">
        <v>146</v>
      </c>
      <c r="E40" s="216" t="n">
        <f aca="false">SUM(E2:E39)</f>
        <v>159</v>
      </c>
      <c r="F40" s="217"/>
      <c r="G40" s="217"/>
      <c r="H40" s="217"/>
      <c r="I40" s="217"/>
      <c r="J40" s="217"/>
      <c r="K40" s="217"/>
      <c r="L40" s="217"/>
      <c r="M40" s="218"/>
    </row>
    <row r="41" customFormat="false" ht="15" hidden="false" customHeight="false" outlineLevel="0" collapsed="false">
      <c r="A41" s="214"/>
      <c r="B41" s="214"/>
      <c r="C41" s="214"/>
      <c r="D41" s="214"/>
      <c r="E41" s="219"/>
      <c r="F41" s="217"/>
      <c r="G41" s="217"/>
      <c r="H41" s="217"/>
      <c r="I41" s="217"/>
      <c r="J41" s="217"/>
      <c r="K41" s="217"/>
      <c r="L41" s="217"/>
      <c r="M41" s="218"/>
    </row>
    <row r="42" customFormat="false" ht="15.75" hidden="false" customHeight="false" outlineLevel="0" collapsed="false">
      <c r="A42" s="214"/>
      <c r="B42" s="214"/>
      <c r="C42" s="214"/>
      <c r="D42" s="220" t="s">
        <v>147</v>
      </c>
      <c r="E42" s="220"/>
      <c r="F42" s="221" t="n">
        <f aca="false">SUM(F2:F39)</f>
        <v>21</v>
      </c>
      <c r="G42" s="222" t="n">
        <f aca="false">SUM(G2:G39)</f>
        <v>16153.995</v>
      </c>
      <c r="H42" s="223"/>
      <c r="I42" s="224" t="n">
        <f aca="false">SUM(I2:I39)</f>
        <v>0</v>
      </c>
      <c r="J42" s="222" t="n">
        <f aca="false">SUM(J2:J39)</f>
        <v>0</v>
      </c>
      <c r="K42" s="223"/>
      <c r="L42" s="224" t="n">
        <f aca="false">SUM(L2:L39)</f>
        <v>0</v>
      </c>
      <c r="M42" s="222" t="n">
        <f aca="false">SUM(M2:M39)</f>
        <v>0</v>
      </c>
    </row>
    <row r="43" customFormat="false" ht="15" hidden="false" customHeight="false" outlineLevel="0" collapsed="false">
      <c r="A43" s="214"/>
      <c r="B43" s="214"/>
      <c r="C43" s="214"/>
      <c r="D43" s="214"/>
      <c r="E43" s="214"/>
      <c r="F43" s="225" t="n">
        <f aca="false">+F42/$E$40</f>
        <v>0.132075471698113</v>
      </c>
      <c r="G43" s="226"/>
      <c r="H43" s="226"/>
      <c r="I43" s="225" t="n">
        <f aca="false">+I42/$E$40</f>
        <v>0</v>
      </c>
      <c r="J43" s="217"/>
      <c r="K43" s="217"/>
      <c r="L43" s="225" t="n">
        <f aca="false">+L42/$E$40</f>
        <v>0</v>
      </c>
      <c r="M43" s="218"/>
    </row>
    <row r="44" customFormat="false" ht="15.75" hidden="false" customHeight="false" outlineLevel="0" collapsed="false">
      <c r="A44" s="214"/>
      <c r="B44" s="214"/>
      <c r="C44" s="214"/>
      <c r="D44" s="214"/>
      <c r="E44" s="214"/>
      <c r="F44" s="226"/>
      <c r="G44" s="220" t="s">
        <v>148</v>
      </c>
      <c r="H44" s="220"/>
      <c r="I44" s="227" t="n">
        <f aca="false">F42+I42</f>
        <v>21</v>
      </c>
      <c r="J44" s="228" t="n">
        <f aca="false">G42+J42</f>
        <v>16153.995</v>
      </c>
      <c r="K44" s="223"/>
      <c r="L44" s="214"/>
      <c r="M44" s="214"/>
    </row>
    <row r="45" customFormat="false" ht="15" hidden="false" customHeight="false" outlineLevel="0" collapsed="false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29"/>
    </row>
    <row r="46" customFormat="false" ht="15.75" hidden="false" customHeight="false" outlineLevel="0" collapsed="false">
      <c r="A46" s="214"/>
      <c r="B46" s="214"/>
      <c r="C46" s="214"/>
      <c r="D46" s="214"/>
      <c r="E46" s="214"/>
      <c r="F46" s="214"/>
      <c r="G46" s="214"/>
      <c r="J46" s="220" t="s">
        <v>149</v>
      </c>
      <c r="K46" s="220"/>
      <c r="L46" s="227" t="n">
        <f aca="false">L42+I44</f>
        <v>21</v>
      </c>
      <c r="M46" s="228" t="n">
        <f aca="false">J44+M42</f>
        <v>16153.995</v>
      </c>
    </row>
  </sheetData>
  <mergeCells count="3">
    <mergeCell ref="D42:E42"/>
    <mergeCell ref="G44:H44"/>
    <mergeCell ref="J46:K46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10"/>
    <col collapsed="false" customWidth="true" hidden="false" outlineLevel="0" max="4" min="2" style="0" width="20.42"/>
    <col collapsed="false" customWidth="true" hidden="false" outlineLevel="0" max="6" min="6" style="0" width="20.42"/>
    <col collapsed="false" customWidth="true" hidden="false" outlineLevel="0" max="7" min="7" style="0" width="17.29"/>
  </cols>
  <sheetData>
    <row r="1" customFormat="false" ht="51.75" hidden="false" customHeight="false" outlineLevel="0" collapsed="false">
      <c r="A1" s="230" t="s">
        <v>109</v>
      </c>
      <c r="B1" s="231" t="s">
        <v>110</v>
      </c>
      <c r="C1" s="231" t="s">
        <v>111</v>
      </c>
      <c r="D1" s="231" t="s">
        <v>112</v>
      </c>
      <c r="E1" s="231" t="s">
        <v>150</v>
      </c>
      <c r="F1" s="231" t="s">
        <v>151</v>
      </c>
      <c r="G1" s="232" t="s">
        <v>152</v>
      </c>
    </row>
    <row r="2" customFormat="false" ht="12.75" hidden="false" customHeight="false" outlineLevel="0" collapsed="false">
      <c r="A2" s="233" t="s">
        <v>122</v>
      </c>
      <c r="B2" s="234" t="n">
        <v>31138.84</v>
      </c>
      <c r="C2" s="235" t="n">
        <f aca="false">B2-B3</f>
        <v>1500</v>
      </c>
      <c r="D2" s="235" t="n">
        <f aca="false">C2/12*13</f>
        <v>1625</v>
      </c>
      <c r="E2" s="236" t="n">
        <v>1</v>
      </c>
      <c r="F2" s="235" t="n">
        <f aca="false">D2*E2</f>
        <v>1625</v>
      </c>
      <c r="G2" s="237" t="n">
        <f aca="false">$F$6/F2</f>
        <v>1.48787333333333</v>
      </c>
    </row>
    <row r="3" customFormat="false" ht="12.75" hidden="false" customHeight="false" outlineLevel="0" collapsed="false">
      <c r="A3" s="238" t="s">
        <v>123</v>
      </c>
      <c r="B3" s="239" t="n">
        <v>29638.84</v>
      </c>
      <c r="C3" s="240" t="n">
        <f aca="false">B3-B4</f>
        <v>1915.14</v>
      </c>
      <c r="D3" s="240" t="n">
        <f aca="false">C3/12*13</f>
        <v>2074.735</v>
      </c>
      <c r="E3" s="241" t="n">
        <v>1</v>
      </c>
      <c r="F3" s="240" t="n">
        <f aca="false">D3*E3</f>
        <v>2074.735</v>
      </c>
      <c r="G3" s="242" t="n">
        <f aca="false">$F$6/F3</f>
        <v>1.16535083597022</v>
      </c>
      <c r="I3" s="243"/>
    </row>
    <row r="4" customFormat="false" ht="12.75" hidden="false" customHeight="false" outlineLevel="0" collapsed="false">
      <c r="A4" s="238" t="s">
        <v>124</v>
      </c>
      <c r="B4" s="239" t="n">
        <v>27723.7</v>
      </c>
      <c r="C4" s="240" t="n">
        <f aca="false">B4-B5</f>
        <v>1184.82</v>
      </c>
      <c r="D4" s="240" t="n">
        <f aca="false">C4/12*13</f>
        <v>1283.555</v>
      </c>
      <c r="E4" s="241" t="n">
        <v>1</v>
      </c>
      <c r="F4" s="240" t="n">
        <f aca="false">D4*E4</f>
        <v>1283.555</v>
      </c>
      <c r="G4" s="242" t="n">
        <f aca="false">$F$6/F4</f>
        <v>1.88367009334751</v>
      </c>
      <c r="I4" s="243"/>
    </row>
    <row r="5" customFormat="false" ht="12.75" hidden="false" customHeight="false" outlineLevel="0" collapsed="false">
      <c r="A5" s="238" t="s">
        <v>125</v>
      </c>
      <c r="B5" s="239" t="n">
        <v>26538.88</v>
      </c>
      <c r="C5" s="240" t="n">
        <f aca="false">B5-B6</f>
        <v>1087.02</v>
      </c>
      <c r="D5" s="240" t="n">
        <f aca="false">C5/12*13</f>
        <v>1177.605</v>
      </c>
      <c r="E5" s="241" t="n">
        <v>1</v>
      </c>
      <c r="F5" s="240" t="n">
        <f aca="false">D5*E5</f>
        <v>1177.605</v>
      </c>
      <c r="G5" s="242" t="n">
        <f aca="false">$F$6/F5</f>
        <v>2.0531452963147</v>
      </c>
    </row>
    <row r="6" customFormat="false" ht="12.75" hidden="false" customHeight="false" outlineLevel="0" collapsed="false">
      <c r="A6" s="238" t="s">
        <v>127</v>
      </c>
      <c r="B6" s="239" t="n">
        <v>25451.86</v>
      </c>
      <c r="C6" s="240" t="n">
        <f aca="false">B6-B7</f>
        <v>2231.81</v>
      </c>
      <c r="D6" s="240" t="n">
        <f aca="false">C6/12*13</f>
        <v>2417.79416666667</v>
      </c>
      <c r="E6" s="241" t="n">
        <v>1</v>
      </c>
      <c r="F6" s="244" t="n">
        <f aca="false">D6*E6</f>
        <v>2417.79416666667</v>
      </c>
      <c r="G6" s="245" t="n">
        <f aca="false">$F$6/F6</f>
        <v>1</v>
      </c>
    </row>
    <row r="7" customFormat="false" ht="12.75" hidden="false" customHeight="false" outlineLevel="0" collapsed="false">
      <c r="A7" s="238" t="s">
        <v>128</v>
      </c>
      <c r="B7" s="239" t="n">
        <v>23220.05</v>
      </c>
      <c r="C7" s="240" t="n">
        <f aca="false">B7-B8</f>
        <v>1084.58</v>
      </c>
      <c r="D7" s="240" t="n">
        <f aca="false">C7/12*13</f>
        <v>1174.96166666666</v>
      </c>
      <c r="E7" s="241" t="n">
        <v>1</v>
      </c>
      <c r="F7" s="240" t="n">
        <f aca="false">D7*E7</f>
        <v>1174.96166666666</v>
      </c>
      <c r="G7" s="242" t="n">
        <f aca="false">$F$6/F7</f>
        <v>2.05776429585647</v>
      </c>
    </row>
    <row r="8" customFormat="false" ht="13.5" hidden="false" customHeight="false" outlineLevel="0" collapsed="false">
      <c r="A8" s="246" t="s">
        <v>65</v>
      </c>
      <c r="B8" s="247" t="n">
        <v>22135.47</v>
      </c>
      <c r="C8" s="248"/>
      <c r="D8" s="248"/>
      <c r="E8" s="248"/>
      <c r="F8" s="248"/>
      <c r="G8" s="249"/>
    </row>
    <row r="9" customFormat="false" ht="12.75" hidden="false" customHeight="false" outlineLevel="0" collapsed="false">
      <c r="A9" s="233" t="s">
        <v>129</v>
      </c>
      <c r="B9" s="234" t="n">
        <v>23543.2</v>
      </c>
      <c r="C9" s="235" t="n">
        <f aca="false">B9-B10</f>
        <v>640</v>
      </c>
      <c r="D9" s="235" t="n">
        <f aca="false">C9/12*13</f>
        <v>693.333333333333</v>
      </c>
      <c r="E9" s="236" t="n">
        <v>1</v>
      </c>
      <c r="F9" s="235" t="n">
        <f aca="false">D9*E9</f>
        <v>693.333333333333</v>
      </c>
      <c r="G9" s="237" t="n">
        <f aca="false">$F$6/F9</f>
        <v>3.487203125</v>
      </c>
    </row>
    <row r="10" customFormat="false" ht="12.75" hidden="false" customHeight="false" outlineLevel="0" collapsed="false">
      <c r="A10" s="238" t="s">
        <v>97</v>
      </c>
      <c r="B10" s="239" t="n">
        <v>22903.2</v>
      </c>
      <c r="C10" s="240" t="n">
        <f aca="false">B10-B11</f>
        <v>817.09</v>
      </c>
      <c r="D10" s="240" t="n">
        <f aca="false">C10/12*13</f>
        <v>885.180833333334</v>
      </c>
      <c r="E10" s="241" t="n">
        <v>1</v>
      </c>
      <c r="F10" s="240" t="n">
        <f aca="false">D10*E10</f>
        <v>885.180833333334</v>
      </c>
      <c r="G10" s="242" t="n">
        <f aca="false">$F$6/F10</f>
        <v>2.73141269627581</v>
      </c>
    </row>
    <row r="11" customFormat="false" ht="12.75" hidden="false" customHeight="false" outlineLevel="0" collapsed="false">
      <c r="A11" s="238" t="s">
        <v>130</v>
      </c>
      <c r="B11" s="239" t="n">
        <v>22086.11</v>
      </c>
      <c r="C11" s="240" t="n">
        <f aca="false">B11-B12</f>
        <v>676.290000000001</v>
      </c>
      <c r="D11" s="240" t="n">
        <f aca="false">C11/12*13</f>
        <v>732.647500000001</v>
      </c>
      <c r="E11" s="241" t="n">
        <v>1</v>
      </c>
      <c r="F11" s="240" t="n">
        <f aca="false">D11*E11</f>
        <v>732.647500000001</v>
      </c>
      <c r="G11" s="242" t="n">
        <f aca="false">$F$6/F11</f>
        <v>3.30007836874713</v>
      </c>
    </row>
    <row r="12" customFormat="false" ht="12.75" hidden="false" customHeight="false" outlineLevel="0" collapsed="false">
      <c r="A12" s="238" t="s">
        <v>55</v>
      </c>
      <c r="B12" s="239" t="n">
        <v>21409.82</v>
      </c>
      <c r="C12" s="240" t="n">
        <f aca="false">B12-B13</f>
        <v>580.560000000001</v>
      </c>
      <c r="D12" s="240" t="n">
        <f aca="false">C12/12*13</f>
        <v>628.940000000001</v>
      </c>
      <c r="E12" s="241" t="n">
        <v>1</v>
      </c>
      <c r="F12" s="240" t="n">
        <f aca="false">D12*E12</f>
        <v>628.940000000001</v>
      </c>
      <c r="G12" s="242" t="n">
        <f aca="false">$F$6/F12</f>
        <v>3.84423659914565</v>
      </c>
    </row>
    <row r="13" customFormat="false" ht="12.75" hidden="false" customHeight="false" outlineLevel="0" collapsed="false">
      <c r="A13" s="238" t="s">
        <v>131</v>
      </c>
      <c r="B13" s="239" t="n">
        <v>20829.26</v>
      </c>
      <c r="C13" s="240" t="n">
        <f aca="false">B13-B14</f>
        <v>485.189999999999</v>
      </c>
      <c r="D13" s="240" t="n">
        <f aca="false">C13/12*13</f>
        <v>525.622499999999</v>
      </c>
      <c r="E13" s="241" t="n">
        <v>1</v>
      </c>
      <c r="F13" s="240" t="n">
        <f aca="false">D13*E13</f>
        <v>525.622499999999</v>
      </c>
      <c r="G13" s="242" t="n">
        <f aca="false">$F$6/F13</f>
        <v>4.59986809291207</v>
      </c>
    </row>
    <row r="14" customFormat="false" ht="13.5" hidden="false" customHeight="false" outlineLevel="0" collapsed="false">
      <c r="A14" s="246" t="s">
        <v>132</v>
      </c>
      <c r="B14" s="247" t="n">
        <v>20344.07</v>
      </c>
      <c r="C14" s="248"/>
      <c r="D14" s="248"/>
      <c r="E14" s="248"/>
      <c r="F14" s="248"/>
      <c r="G14" s="249"/>
    </row>
    <row r="15" customFormat="false" ht="12.75" hidden="false" customHeight="false" outlineLevel="0" collapsed="false">
      <c r="A15" s="233" t="s">
        <v>133</v>
      </c>
      <c r="B15" s="234" t="n">
        <v>21248.24</v>
      </c>
      <c r="C15" s="235" t="n">
        <f aca="false">B15-B16</f>
        <v>460</v>
      </c>
      <c r="D15" s="235" t="n">
        <f aca="false">C15/12*13</f>
        <v>498.333333333333</v>
      </c>
      <c r="E15" s="236" t="n">
        <v>1</v>
      </c>
      <c r="F15" s="235" t="n">
        <f aca="false">D15*E15</f>
        <v>498.333333333333</v>
      </c>
      <c r="G15" s="237" t="n">
        <f aca="false">$F$6/F15</f>
        <v>4.85176086956522</v>
      </c>
    </row>
    <row r="16" customFormat="false" ht="12.75" hidden="false" customHeight="false" outlineLevel="0" collapsed="false">
      <c r="A16" s="238" t="s">
        <v>134</v>
      </c>
      <c r="B16" s="239" t="n">
        <v>20788.24</v>
      </c>
      <c r="C16" s="240" t="n">
        <f aca="false">B16-B17</f>
        <v>769.140000000003</v>
      </c>
      <c r="D16" s="240" t="n">
        <f aca="false">C16/12*13</f>
        <v>833.235000000003</v>
      </c>
      <c r="E16" s="241" t="n">
        <v>1</v>
      </c>
      <c r="F16" s="240" t="n">
        <f aca="false">D16*E16</f>
        <v>833.235000000003</v>
      </c>
      <c r="G16" s="242" t="n">
        <f aca="false">$F$6/F16</f>
        <v>2.9016954000572</v>
      </c>
    </row>
    <row r="17" customFormat="false" ht="12.75" hidden="false" customHeight="false" outlineLevel="0" collapsed="false">
      <c r="A17" s="238" t="s">
        <v>135</v>
      </c>
      <c r="B17" s="239" t="n">
        <v>20019.1</v>
      </c>
      <c r="C17" s="240" t="n">
        <f aca="false">B17-B18</f>
        <v>349.189999999999</v>
      </c>
      <c r="D17" s="240" t="n">
        <f aca="false">C17/12*13</f>
        <v>378.289166666665</v>
      </c>
      <c r="E17" s="241" t="n">
        <v>1</v>
      </c>
      <c r="F17" s="240" t="n">
        <f aca="false">D17*E17</f>
        <v>378.289166666665</v>
      </c>
      <c r="G17" s="242" t="n">
        <f aca="false">$F$6/F17</f>
        <v>6.3913915060569</v>
      </c>
    </row>
    <row r="18" customFormat="false" ht="12.75" hidden="false" customHeight="false" outlineLevel="0" collapsed="false">
      <c r="A18" s="238" t="s">
        <v>136</v>
      </c>
      <c r="B18" s="239" t="n">
        <v>19669.91</v>
      </c>
      <c r="C18" s="240" t="n">
        <f aca="false">B18-B19</f>
        <v>326.579999999998</v>
      </c>
      <c r="D18" s="240" t="n">
        <f aca="false">C18/12*13</f>
        <v>353.794999999998</v>
      </c>
      <c r="E18" s="241" t="n">
        <v>1</v>
      </c>
      <c r="F18" s="240" t="n">
        <f aca="false">D18*E18</f>
        <v>353.794999999998</v>
      </c>
      <c r="G18" s="242" t="n">
        <f aca="false">$F$6/F18</f>
        <v>6.83388449996942</v>
      </c>
    </row>
    <row r="19" customFormat="false" ht="12.75" hidden="false" customHeight="false" outlineLevel="0" collapsed="false">
      <c r="A19" s="238" t="s">
        <v>137</v>
      </c>
      <c r="B19" s="239" t="n">
        <v>19343.33</v>
      </c>
      <c r="C19" s="240" t="n">
        <f aca="false">B19-B20</f>
        <v>279.530000000002</v>
      </c>
      <c r="D19" s="240" t="n">
        <f aca="false">C19/12*13</f>
        <v>302.824166666669</v>
      </c>
      <c r="E19" s="241" t="n">
        <v>1</v>
      </c>
      <c r="F19" s="240" t="n">
        <f aca="false">D19*E19</f>
        <v>302.824166666669</v>
      </c>
      <c r="G19" s="242" t="n">
        <f aca="false">$F$6/F19</f>
        <v>7.9841519693771</v>
      </c>
    </row>
    <row r="20" customFormat="false" ht="12.75" hidden="false" customHeight="false" outlineLevel="0" collapsed="false">
      <c r="A20" s="238" t="s">
        <v>139</v>
      </c>
      <c r="B20" s="239" t="n">
        <v>19063.8</v>
      </c>
      <c r="C20" s="240" t="n">
        <f aca="false">B20-B21</f>
        <v>729.869999999999</v>
      </c>
      <c r="D20" s="240" t="n">
        <f aca="false">C20/12*13</f>
        <v>790.692499999999</v>
      </c>
      <c r="E20" s="241" t="n">
        <v>1</v>
      </c>
      <c r="F20" s="240" t="n">
        <f aca="false">D20*E20</f>
        <v>790.692499999999</v>
      </c>
      <c r="G20" s="242" t="n">
        <f aca="false">$F$6/F20</f>
        <v>3.05781851562608</v>
      </c>
    </row>
    <row r="21" customFormat="false" ht="12.75" hidden="false" customHeight="false" outlineLevel="0" collapsed="false">
      <c r="A21" s="238" t="s">
        <v>61</v>
      </c>
      <c r="B21" s="239" t="n">
        <v>18333.93</v>
      </c>
      <c r="C21" s="240" t="n">
        <f aca="false">B21-B22</f>
        <v>299.860000000001</v>
      </c>
      <c r="D21" s="240" t="n">
        <f aca="false">C21/12*13</f>
        <v>324.848333333334</v>
      </c>
      <c r="E21" s="241" t="n">
        <v>1</v>
      </c>
      <c r="F21" s="240" t="n">
        <f aca="false">D21*E21</f>
        <v>324.848333333334</v>
      </c>
      <c r="G21" s="242" t="n">
        <f aca="false">$F$6/F21</f>
        <v>7.44283999199625</v>
      </c>
    </row>
    <row r="22" customFormat="false" ht="13.5" hidden="false" customHeight="false" outlineLevel="0" collapsed="false">
      <c r="A22" s="246" t="s">
        <v>86</v>
      </c>
      <c r="B22" s="247" t="n">
        <v>18034.07</v>
      </c>
      <c r="C22" s="248"/>
      <c r="D22" s="248"/>
      <c r="E22" s="248"/>
      <c r="F22" s="248"/>
      <c r="G22" s="249"/>
    </row>
    <row r="23" customFormat="false" ht="12.75" hidden="false" customHeight="false" outlineLevel="0" collapsed="false">
      <c r="A23" s="233" t="s">
        <v>140</v>
      </c>
      <c r="B23" s="234" t="n">
        <v>18661.97</v>
      </c>
      <c r="C23" s="235" t="n">
        <f aca="false">B23-B24</f>
        <v>320</v>
      </c>
      <c r="D23" s="235" t="n">
        <f aca="false">C23/12*13</f>
        <v>346.666666666667</v>
      </c>
      <c r="E23" s="236" t="n">
        <v>1</v>
      </c>
      <c r="F23" s="235" t="n">
        <f aca="false">D23*E23</f>
        <v>346.666666666667</v>
      </c>
      <c r="G23" s="237" t="n">
        <f aca="false">$F$6/F23</f>
        <v>6.97440625</v>
      </c>
    </row>
    <row r="24" customFormat="false" ht="12.75" hidden="false" customHeight="false" outlineLevel="0" collapsed="false">
      <c r="A24" s="238" t="s">
        <v>141</v>
      </c>
      <c r="B24" s="239" t="n">
        <v>18341.97</v>
      </c>
      <c r="C24" s="240" t="n">
        <f aca="false">B24-B25</f>
        <v>371.43</v>
      </c>
      <c r="D24" s="240" t="n">
        <f aca="false">C24/12*13</f>
        <v>402.3825</v>
      </c>
      <c r="E24" s="241" t="n">
        <v>1</v>
      </c>
      <c r="F24" s="240" t="n">
        <f aca="false">D24*E24</f>
        <v>402.3825</v>
      </c>
      <c r="G24" s="242" t="n">
        <f aca="false">$F$6/F24</f>
        <v>6.00869612039954</v>
      </c>
    </row>
    <row r="25" customFormat="false" ht="12.75" hidden="false" customHeight="false" outlineLevel="0" collapsed="false">
      <c r="A25" s="238" t="s">
        <v>142</v>
      </c>
      <c r="B25" s="239" t="n">
        <v>17970.54</v>
      </c>
      <c r="C25" s="240" t="n">
        <f aca="false">B25-B26</f>
        <v>313.98</v>
      </c>
      <c r="D25" s="240" t="n">
        <f aca="false">C25/12*13</f>
        <v>340.145</v>
      </c>
      <c r="E25" s="241" t="n">
        <v>1</v>
      </c>
      <c r="F25" s="240" t="n">
        <f aca="false">D25*E25</f>
        <v>340.145</v>
      </c>
      <c r="G25" s="242" t="n">
        <f aca="false">$F$6/F25</f>
        <v>7.10812790623608</v>
      </c>
    </row>
    <row r="26" customFormat="false" ht="12.75" hidden="false" customHeight="false" outlineLevel="0" collapsed="false">
      <c r="A26" s="238" t="s">
        <v>143</v>
      </c>
      <c r="B26" s="239" t="n">
        <v>17656.56</v>
      </c>
      <c r="C26" s="240" t="n">
        <f aca="false">B26-B27</f>
        <v>366.25</v>
      </c>
      <c r="D26" s="240" t="n">
        <f aca="false">C26/12*13</f>
        <v>396.770833333333</v>
      </c>
      <c r="E26" s="241" t="n">
        <v>1</v>
      </c>
      <c r="F26" s="240" t="n">
        <f aca="false">D26*E26</f>
        <v>396.770833333333</v>
      </c>
      <c r="G26" s="242" t="n">
        <f aca="false">$F$6/F26</f>
        <v>6.09367918088738</v>
      </c>
    </row>
    <row r="27" customFormat="false" ht="12.75" hidden="false" customHeight="false" outlineLevel="0" collapsed="false">
      <c r="A27" s="238" t="s">
        <v>144</v>
      </c>
      <c r="B27" s="239" t="n">
        <v>17290.31</v>
      </c>
      <c r="C27" s="240" t="n">
        <f aca="false">B27-B28</f>
        <v>229.34</v>
      </c>
      <c r="D27" s="240" t="n">
        <f aca="false">C27/12*13</f>
        <v>248.451666666667</v>
      </c>
      <c r="E27" s="241" t="n">
        <v>1</v>
      </c>
      <c r="F27" s="240" t="n">
        <f aca="false">D27*E27</f>
        <v>248.451666666667</v>
      </c>
      <c r="G27" s="242" t="n">
        <f aca="false">$F$6/F27</f>
        <v>9.7314467602686</v>
      </c>
    </row>
    <row r="28" customFormat="false" ht="13.5" hidden="false" customHeight="false" outlineLevel="0" collapsed="false">
      <c r="A28" s="246" t="s">
        <v>145</v>
      </c>
      <c r="B28" s="247" t="n">
        <v>17060.97</v>
      </c>
      <c r="C28" s="248"/>
      <c r="D28" s="248"/>
      <c r="E28" s="248"/>
      <c r="F28" s="248"/>
      <c r="G28" s="249"/>
    </row>
    <row r="29" customFormat="false" ht="12.75" hidden="false" customHeight="false" outlineLevel="0" collapsed="false">
      <c r="A29" s="161"/>
      <c r="B29" s="161"/>
      <c r="C29" s="161"/>
      <c r="D29" s="161"/>
      <c r="E29" s="161"/>
      <c r="F29" s="161"/>
    </row>
    <row r="30" customFormat="false" ht="12.75" hidden="false" customHeight="false" outlineLevel="0" collapsed="false">
      <c r="A30" s="161"/>
      <c r="B30" s="161"/>
      <c r="C30" s="161"/>
      <c r="D30" s="161"/>
      <c r="E30" s="161"/>
      <c r="F30" s="250"/>
    </row>
    <row r="31" customFormat="false" ht="12.75" hidden="false" customHeight="false" outlineLevel="0" collapsed="false">
      <c r="A31" s="161"/>
      <c r="B31" s="161"/>
      <c r="C31" s="251"/>
      <c r="D31" s="161"/>
      <c r="E31" s="161"/>
      <c r="F31" s="250"/>
    </row>
    <row r="32" customFormat="false" ht="12.75" hidden="false" customHeight="false" outlineLevel="0" collapsed="false">
      <c r="A32" s="161"/>
      <c r="B32" s="161"/>
      <c r="C32" s="251"/>
      <c r="D32" s="161"/>
      <c r="E32" s="161"/>
      <c r="F32" s="250"/>
    </row>
    <row r="33" customFormat="false" ht="12.75" hidden="false" customHeight="false" outlineLevel="0" collapsed="false">
      <c r="A33" s="161"/>
      <c r="B33" s="161"/>
      <c r="C33" s="251"/>
      <c r="D33" s="161"/>
      <c r="E33" s="161"/>
      <c r="F33" s="250"/>
    </row>
    <row r="34" customFormat="false" ht="12.75" hidden="false" customHeight="false" outlineLevel="0" collapsed="false">
      <c r="A34" s="161"/>
      <c r="B34" s="161"/>
      <c r="C34" s="251"/>
      <c r="D34" s="161"/>
      <c r="E34" s="161"/>
      <c r="F34" s="250"/>
      <c r="G34" s="252"/>
    </row>
    <row r="35" customFormat="false" ht="12.75" hidden="false" customHeight="false" outlineLevel="0" collapsed="false">
      <c r="A35" s="161"/>
      <c r="B35" s="161"/>
      <c r="C35" s="251"/>
      <c r="D35" s="251"/>
      <c r="E35" s="253"/>
      <c r="F35" s="253"/>
      <c r="G35" s="252"/>
    </row>
    <row r="36" customFormat="false" ht="12.75" hidden="false" customHeight="false" outlineLevel="0" collapsed="false">
      <c r="D36" s="254"/>
      <c r="E36" s="255"/>
      <c r="F36" s="255"/>
      <c r="G36" s="252"/>
    </row>
    <row r="37" customFormat="false" ht="12.75" hidden="false" customHeight="false" outlineLevel="0" collapsed="false">
      <c r="D37" s="254"/>
      <c r="E37" s="255"/>
      <c r="F37" s="255"/>
      <c r="G37" s="252"/>
    </row>
    <row r="38" customFormat="false" ht="12.75" hidden="false" customHeight="false" outlineLevel="0" collapsed="false">
      <c r="D38" s="254"/>
      <c r="E38" s="255"/>
      <c r="F38" s="255"/>
      <c r="G38" s="252"/>
    </row>
    <row r="39" customFormat="false" ht="12.75" hidden="false" customHeight="false" outlineLevel="0" collapsed="false">
      <c r="D39" s="254"/>
      <c r="E39" s="255"/>
      <c r="F39" s="255"/>
      <c r="G39" s="252"/>
    </row>
    <row r="40" customFormat="false" ht="12.75" hidden="false" customHeight="false" outlineLevel="0" collapsed="false">
      <c r="D40" s="254"/>
      <c r="E40" s="255"/>
      <c r="F40" s="255"/>
      <c r="G40" s="25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H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43.59"/>
    <col collapsed="false" customWidth="true" hidden="false" outlineLevel="0" max="8" min="2" style="0" width="11.71"/>
  </cols>
  <sheetData>
    <row r="4" customFormat="false" ht="12.75" hidden="false" customHeight="false" outlineLevel="0" collapsed="false">
      <c r="A4" s="256" t="s">
        <v>153</v>
      </c>
      <c r="B4" s="257" t="n">
        <v>240</v>
      </c>
      <c r="C4" s="257" t="n">
        <v>240</v>
      </c>
      <c r="D4" s="257" t="n">
        <v>240</v>
      </c>
      <c r="E4" s="257" t="n">
        <v>240</v>
      </c>
      <c r="F4" s="257" t="n">
        <v>240</v>
      </c>
      <c r="G4" s="257" t="n">
        <v>240</v>
      </c>
      <c r="H4" s="257" t="n">
        <v>240</v>
      </c>
    </row>
    <row r="5" customFormat="false" ht="12.75" hidden="false" customHeight="false" outlineLevel="0" collapsed="false">
      <c r="A5" s="256" t="s">
        <v>154</v>
      </c>
      <c r="B5" s="258" t="n">
        <v>9</v>
      </c>
      <c r="C5" s="258" t="n">
        <v>9</v>
      </c>
      <c r="D5" s="259" t="n">
        <v>7</v>
      </c>
      <c r="E5" s="258" t="n">
        <v>9</v>
      </c>
      <c r="F5" s="258" t="n">
        <v>9</v>
      </c>
      <c r="G5" s="258" t="n">
        <v>9</v>
      </c>
      <c r="H5" s="258" t="n">
        <v>9</v>
      </c>
    </row>
    <row r="6" customFormat="false" ht="12.75" hidden="false" customHeight="false" outlineLevel="0" collapsed="false">
      <c r="A6" s="256" t="s">
        <v>155</v>
      </c>
      <c r="B6" s="260" t="n">
        <v>1</v>
      </c>
      <c r="C6" s="260" t="n">
        <v>2</v>
      </c>
      <c r="D6" s="261" t="n">
        <v>3</v>
      </c>
      <c r="E6" s="260" t="n">
        <v>4</v>
      </c>
      <c r="F6" s="260" t="n">
        <v>5</v>
      </c>
      <c r="G6" s="260" t="n">
        <v>6</v>
      </c>
      <c r="H6" s="260" t="n">
        <v>7</v>
      </c>
    </row>
    <row r="7" customFormat="false" ht="12.75" hidden="false" customHeight="false" outlineLevel="0" collapsed="false">
      <c r="A7" s="256" t="s">
        <v>146</v>
      </c>
      <c r="B7" s="262" t="n">
        <f aca="false">(B4*B5)*B6</f>
        <v>2160</v>
      </c>
      <c r="C7" s="262" t="n">
        <f aca="false">(C4*C5)*C6</f>
        <v>4320</v>
      </c>
      <c r="D7" s="262" t="n">
        <f aca="false">(D4*D5)*D6</f>
        <v>5040</v>
      </c>
      <c r="E7" s="262" t="n">
        <f aca="false">(E4*E5)*E6</f>
        <v>8640</v>
      </c>
      <c r="F7" s="262" t="n">
        <f aca="false">(F4*F5)*F6</f>
        <v>10800</v>
      </c>
      <c r="G7" s="262" t="n">
        <f aca="false">(G4*G5)*G6</f>
        <v>12960</v>
      </c>
      <c r="H7" s="262" t="n">
        <f aca="false">(H4*H5)*H6</f>
        <v>15120</v>
      </c>
    </row>
    <row r="10" customFormat="false" ht="12.75" hidden="false" customHeight="false" outlineLevel="0" collapsed="false">
      <c r="D10" s="26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2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42" activeCellId="0" sqref="G42"/>
    </sheetView>
  </sheetViews>
  <sheetFormatPr defaultColWidth="8.875" defaultRowHeight="12.75" zeroHeight="false" outlineLevelRow="0" outlineLevelCol="0"/>
  <cols>
    <col collapsed="false" customWidth="true" hidden="false" outlineLevel="0" max="1" min="1" style="264" width="12.57"/>
    <col collapsed="false" customWidth="true" hidden="false" outlineLevel="0" max="5" min="2" style="264" width="18.29"/>
    <col collapsed="false" customWidth="true" hidden="false" outlineLevel="0" max="6" min="6" style="264" width="12.29"/>
    <col collapsed="false" customWidth="true" hidden="false" outlineLevel="0" max="7" min="7" style="264" width="18.29"/>
    <col collapsed="false" customWidth="true" hidden="false" outlineLevel="0" max="8" min="8" style="264" width="12.29"/>
    <col collapsed="false" customWidth="true" hidden="false" outlineLevel="0" max="9" min="9" style="264" width="18.29"/>
    <col collapsed="false" customWidth="true" hidden="false" outlineLevel="0" max="10" min="10" style="264" width="12.29"/>
    <col collapsed="false" customWidth="true" hidden="false" outlineLevel="0" max="11" min="11" style="264" width="20.57"/>
    <col collapsed="false" customWidth="false" hidden="false" outlineLevel="0" max="1025" min="12" style="264" width="8.86"/>
  </cols>
  <sheetData>
    <row r="1" customFormat="false" ht="60.75" hidden="false" customHeight="false" outlineLevel="0" collapsed="false">
      <c r="A1" s="265" t="s">
        <v>109</v>
      </c>
      <c r="B1" s="266" t="s">
        <v>110</v>
      </c>
      <c r="C1" s="266" t="s">
        <v>156</v>
      </c>
      <c r="D1" s="267" t="s">
        <v>157</v>
      </c>
      <c r="E1" s="268" t="s">
        <v>158</v>
      </c>
      <c r="F1" s="265" t="s">
        <v>159</v>
      </c>
      <c r="G1" s="269" t="s">
        <v>115</v>
      </c>
      <c r="H1" s="265" t="s">
        <v>160</v>
      </c>
      <c r="I1" s="269" t="s">
        <v>118</v>
      </c>
      <c r="J1" s="265" t="s">
        <v>161</v>
      </c>
      <c r="K1" s="269" t="s">
        <v>121</v>
      </c>
    </row>
    <row r="2" customFormat="false" ht="15" hidden="false" customHeight="false" outlineLevel="0" collapsed="false">
      <c r="A2" s="270" t="s">
        <v>122</v>
      </c>
      <c r="B2" s="271" t="n">
        <v>31138.84</v>
      </c>
      <c r="C2" s="271" t="n">
        <f aca="false">B2-B3</f>
        <v>1500</v>
      </c>
      <c r="D2" s="272" t="n">
        <f aca="false">C2/12*13</f>
        <v>1625</v>
      </c>
      <c r="E2" s="273" t="n">
        <f aca="false">D5+D4+D3+D2</f>
        <v>6160.895</v>
      </c>
      <c r="F2" s="274" t="n">
        <v>0</v>
      </c>
      <c r="G2" s="275" t="n">
        <f aca="false">E2*F2</f>
        <v>0</v>
      </c>
      <c r="H2" s="276" t="n">
        <v>0</v>
      </c>
      <c r="I2" s="275" t="n">
        <f aca="false">E2*H2</f>
        <v>0</v>
      </c>
      <c r="J2" s="274" t="n">
        <v>0</v>
      </c>
      <c r="K2" s="275" t="n">
        <f aca="false">E2*J2</f>
        <v>0</v>
      </c>
    </row>
    <row r="3" customFormat="false" ht="15" hidden="false" customHeight="false" outlineLevel="0" collapsed="false">
      <c r="A3" s="277" t="s">
        <v>123</v>
      </c>
      <c r="B3" s="278" t="n">
        <v>29638.84</v>
      </c>
      <c r="C3" s="278" t="n">
        <f aca="false">B3-B4</f>
        <v>1915.14</v>
      </c>
      <c r="D3" s="272" t="n">
        <f aca="false">C3/12*13</f>
        <v>2074.735</v>
      </c>
      <c r="E3" s="273" t="n">
        <f aca="false">D5+D4+D3</f>
        <v>4535.895</v>
      </c>
      <c r="F3" s="274" t="n">
        <v>0</v>
      </c>
      <c r="G3" s="279" t="n">
        <f aca="false">E3*F3</f>
        <v>0</v>
      </c>
      <c r="H3" s="280" t="n">
        <v>0</v>
      </c>
      <c r="I3" s="279" t="n">
        <f aca="false">E3*H3</f>
        <v>0</v>
      </c>
      <c r="J3" s="281" t="n">
        <v>0</v>
      </c>
      <c r="K3" s="279" t="n">
        <f aca="false">E3*J3</f>
        <v>0</v>
      </c>
    </row>
    <row r="4" customFormat="false" ht="15" hidden="false" customHeight="false" outlineLevel="0" collapsed="false">
      <c r="A4" s="277" t="s">
        <v>124</v>
      </c>
      <c r="B4" s="278" t="n">
        <v>27723.7</v>
      </c>
      <c r="C4" s="278" t="n">
        <f aca="false">B4-B5</f>
        <v>1184.82</v>
      </c>
      <c r="D4" s="272" t="n">
        <f aca="false">C4/12*13</f>
        <v>1283.555</v>
      </c>
      <c r="E4" s="273" t="n">
        <f aca="false">D5+D4</f>
        <v>2461.16</v>
      </c>
      <c r="F4" s="274" t="n">
        <v>0</v>
      </c>
      <c r="G4" s="279" t="n">
        <f aca="false">E4*F4</f>
        <v>0</v>
      </c>
      <c r="H4" s="280" t="n">
        <v>0</v>
      </c>
      <c r="I4" s="279" t="n">
        <f aca="false">E4*H4</f>
        <v>0</v>
      </c>
      <c r="J4" s="281" t="n">
        <v>0</v>
      </c>
      <c r="K4" s="279" t="n">
        <f aca="false">E4*J4</f>
        <v>0</v>
      </c>
    </row>
    <row r="5" customFormat="false" ht="15" hidden="false" customHeight="false" outlineLevel="0" collapsed="false">
      <c r="A5" s="277" t="s">
        <v>125</v>
      </c>
      <c r="B5" s="278" t="n">
        <v>26538.88</v>
      </c>
      <c r="C5" s="278" t="n">
        <f aca="false">B5-B6</f>
        <v>1087.02</v>
      </c>
      <c r="D5" s="272" t="n">
        <f aca="false">C5/12*13</f>
        <v>1177.605</v>
      </c>
      <c r="E5" s="273" t="n">
        <f aca="false">D5</f>
        <v>1177.605</v>
      </c>
      <c r="F5" s="274" t="n">
        <v>6</v>
      </c>
      <c r="G5" s="279" t="n">
        <f aca="false">E5*F5</f>
        <v>7065.63</v>
      </c>
      <c r="H5" s="280" t="n">
        <v>0</v>
      </c>
      <c r="I5" s="279" t="n">
        <f aca="false">E5*H5</f>
        <v>0</v>
      </c>
      <c r="J5" s="281" t="n">
        <v>0</v>
      </c>
      <c r="K5" s="279" t="n">
        <f aca="false">E5*J5</f>
        <v>0</v>
      </c>
    </row>
    <row r="6" customFormat="false" ht="15" hidden="false" customHeight="false" outlineLevel="0" collapsed="false">
      <c r="A6" s="282" t="s">
        <v>126</v>
      </c>
      <c r="B6" s="283" t="n">
        <v>25451.86</v>
      </c>
      <c r="C6" s="284"/>
      <c r="D6" s="285"/>
      <c r="E6" s="286"/>
      <c r="F6" s="287" t="n">
        <v>5</v>
      </c>
      <c r="G6" s="288"/>
      <c r="H6" s="289" t="n">
        <v>0</v>
      </c>
      <c r="I6" s="288"/>
      <c r="J6" s="287" t="n">
        <v>0</v>
      </c>
      <c r="K6" s="288"/>
    </row>
    <row r="7" customFormat="false" ht="15" hidden="false" customHeight="false" outlineLevel="0" collapsed="false">
      <c r="A7" s="270" t="s">
        <v>122</v>
      </c>
      <c r="B7" s="290" t="n">
        <v>31138.84</v>
      </c>
      <c r="C7" s="271" t="n">
        <f aca="false">B7-B8</f>
        <v>1500</v>
      </c>
      <c r="D7" s="272" t="n">
        <f aca="false">C7/12*13</f>
        <v>1625</v>
      </c>
      <c r="E7" s="273" t="n">
        <f aca="false">D12+D11+D10+D9+D8+D7</f>
        <v>9753.65083333333</v>
      </c>
      <c r="F7" s="274" t="n">
        <v>0</v>
      </c>
      <c r="G7" s="275" t="n">
        <f aca="false">E7*F7</f>
        <v>0</v>
      </c>
      <c r="H7" s="276" t="n">
        <v>0</v>
      </c>
      <c r="I7" s="275" t="n">
        <f aca="false">E7*H7</f>
        <v>0</v>
      </c>
      <c r="J7" s="274" t="n">
        <v>0</v>
      </c>
      <c r="K7" s="275" t="n">
        <f aca="false">J7</f>
        <v>0</v>
      </c>
    </row>
    <row r="8" customFormat="false" ht="15" hidden="false" customHeight="false" outlineLevel="0" collapsed="false">
      <c r="A8" s="277" t="s">
        <v>123</v>
      </c>
      <c r="B8" s="291" t="n">
        <v>29638.84</v>
      </c>
      <c r="C8" s="278" t="n">
        <f aca="false">B8-B9</f>
        <v>1915.14</v>
      </c>
      <c r="D8" s="292" t="n">
        <f aca="false">C8/12*13</f>
        <v>2074.735</v>
      </c>
      <c r="E8" s="293" t="n">
        <f aca="false">D12+D11+D10+D9+D8</f>
        <v>8128.65083333333</v>
      </c>
      <c r="F8" s="281" t="n">
        <v>0</v>
      </c>
      <c r="G8" s="279" t="n">
        <f aca="false">E8*F8</f>
        <v>0</v>
      </c>
      <c r="H8" s="280" t="n">
        <v>0</v>
      </c>
      <c r="I8" s="279" t="n">
        <f aca="false">E8*H8</f>
        <v>0</v>
      </c>
      <c r="J8" s="281" t="n">
        <v>0</v>
      </c>
      <c r="K8" s="279" t="n">
        <f aca="false">J8</f>
        <v>0</v>
      </c>
      <c r="M8" s="294"/>
      <c r="O8" s="295"/>
    </row>
    <row r="9" customFormat="false" ht="15" hidden="false" customHeight="false" outlineLevel="0" collapsed="false">
      <c r="A9" s="277" t="s">
        <v>124</v>
      </c>
      <c r="B9" s="291" t="n">
        <v>27723.7</v>
      </c>
      <c r="C9" s="278" t="n">
        <f aca="false">B9-B10</f>
        <v>1184.82</v>
      </c>
      <c r="D9" s="292" t="n">
        <f aca="false">C9/12*13</f>
        <v>1283.555</v>
      </c>
      <c r="E9" s="293" t="n">
        <f aca="false">D12+D11+D10+D9</f>
        <v>6053.91583333333</v>
      </c>
      <c r="F9" s="281" t="n">
        <v>0</v>
      </c>
      <c r="G9" s="279" t="n">
        <f aca="false">E9*F9</f>
        <v>0</v>
      </c>
      <c r="H9" s="280" t="n">
        <v>0</v>
      </c>
      <c r="I9" s="279" t="n">
        <f aca="false">E9*H9</f>
        <v>0</v>
      </c>
      <c r="J9" s="281" t="n">
        <v>0</v>
      </c>
      <c r="K9" s="279" t="n">
        <f aca="false">J9</f>
        <v>0</v>
      </c>
      <c r="M9" s="294"/>
      <c r="O9" s="295"/>
    </row>
    <row r="10" customFormat="false" ht="15" hidden="false" customHeight="false" outlineLevel="0" collapsed="false">
      <c r="A10" s="277" t="s">
        <v>125</v>
      </c>
      <c r="B10" s="291" t="n">
        <v>26538.88</v>
      </c>
      <c r="C10" s="278" t="n">
        <f aca="false">B10-B11</f>
        <v>1087.02</v>
      </c>
      <c r="D10" s="292" t="n">
        <f aca="false">C10/12*13</f>
        <v>1177.605</v>
      </c>
      <c r="E10" s="293" t="n">
        <f aca="false">D12+D11+D10</f>
        <v>4770.36083333333</v>
      </c>
      <c r="F10" s="281" t="n">
        <v>0</v>
      </c>
      <c r="G10" s="279" t="n">
        <f aca="false">E10*F10</f>
        <v>0</v>
      </c>
      <c r="H10" s="280" t="n">
        <v>0</v>
      </c>
      <c r="I10" s="279" t="n">
        <f aca="false">E10*H10</f>
        <v>0</v>
      </c>
      <c r="J10" s="281" t="n">
        <v>0</v>
      </c>
      <c r="K10" s="279" t="n">
        <f aca="false">J10</f>
        <v>0</v>
      </c>
      <c r="P10" s="294"/>
      <c r="Q10" s="294"/>
      <c r="R10" s="294"/>
      <c r="S10" s="296"/>
    </row>
    <row r="11" customFormat="false" ht="15" hidden="false" customHeight="false" outlineLevel="0" collapsed="false">
      <c r="A11" s="277" t="s">
        <v>127</v>
      </c>
      <c r="B11" s="291" t="n">
        <v>25451.86</v>
      </c>
      <c r="C11" s="278" t="n">
        <f aca="false">B11-B12</f>
        <v>2231.81</v>
      </c>
      <c r="D11" s="292" t="n">
        <f aca="false">C11/12*13</f>
        <v>2417.79416666667</v>
      </c>
      <c r="E11" s="293" t="n">
        <f aca="false">D12+D11</f>
        <v>3592.75583333333</v>
      </c>
      <c r="F11" s="281" t="n">
        <v>3</v>
      </c>
      <c r="G11" s="279" t="n">
        <f aca="false">E11*F11</f>
        <v>10778.2675</v>
      </c>
      <c r="H11" s="280" t="n">
        <v>0</v>
      </c>
      <c r="I11" s="279" t="n">
        <f aca="false">E11*H11</f>
        <v>0</v>
      </c>
      <c r="J11" s="281" t="n">
        <v>0</v>
      </c>
      <c r="K11" s="279" t="n">
        <f aca="false">J11</f>
        <v>0</v>
      </c>
      <c r="N11" s="294"/>
      <c r="P11" s="294"/>
      <c r="Q11" s="294"/>
      <c r="R11" s="294"/>
      <c r="S11" s="296"/>
    </row>
    <row r="12" customFormat="false" ht="15" hidden="false" customHeight="false" outlineLevel="0" collapsed="false">
      <c r="A12" s="277" t="s">
        <v>128</v>
      </c>
      <c r="B12" s="291" t="n">
        <v>23220.05</v>
      </c>
      <c r="C12" s="278" t="n">
        <f aca="false">B12-B13</f>
        <v>1084.58</v>
      </c>
      <c r="D12" s="292" t="n">
        <f aca="false">C12/12*13</f>
        <v>1174.96166666666</v>
      </c>
      <c r="E12" s="293" t="n">
        <f aca="false">D12</f>
        <v>1174.96166666666</v>
      </c>
      <c r="F12" s="281" t="n">
        <v>8</v>
      </c>
      <c r="G12" s="279" t="n">
        <f aca="false">E12*F12</f>
        <v>9399.69333333332</v>
      </c>
      <c r="H12" s="280" t="n">
        <v>0</v>
      </c>
      <c r="I12" s="279" t="n">
        <f aca="false">E12*H12</f>
        <v>0</v>
      </c>
      <c r="J12" s="281" t="n">
        <v>0</v>
      </c>
      <c r="K12" s="279" t="n">
        <f aca="false">J12</f>
        <v>0</v>
      </c>
      <c r="N12" s="294"/>
      <c r="P12" s="294"/>
      <c r="Q12" s="294"/>
      <c r="R12" s="294"/>
      <c r="S12" s="296"/>
    </row>
    <row r="13" customFormat="false" ht="15.75" hidden="false" customHeight="false" outlineLevel="0" collapsed="false">
      <c r="A13" s="282" t="s">
        <v>65</v>
      </c>
      <c r="B13" s="297" t="n">
        <v>22135.47</v>
      </c>
      <c r="C13" s="284"/>
      <c r="D13" s="298"/>
      <c r="E13" s="299"/>
      <c r="F13" s="287" t="n">
        <v>15</v>
      </c>
      <c r="G13" s="288"/>
      <c r="H13" s="289" t="n">
        <v>0</v>
      </c>
      <c r="I13" s="288"/>
      <c r="J13" s="287" t="n">
        <v>0</v>
      </c>
      <c r="K13" s="288"/>
      <c r="P13" s="294"/>
      <c r="Q13" s="294"/>
      <c r="R13" s="294"/>
      <c r="S13" s="296"/>
    </row>
    <row r="14" customFormat="false" ht="15" hidden="false" customHeight="false" outlineLevel="0" collapsed="false">
      <c r="A14" s="270" t="s">
        <v>129</v>
      </c>
      <c r="B14" s="290" t="n">
        <v>23543.2</v>
      </c>
      <c r="C14" s="271" t="n">
        <f aca="false">B14-B15</f>
        <v>640</v>
      </c>
      <c r="D14" s="272" t="n">
        <f aca="false">C14/12*13</f>
        <v>693.333333333333</v>
      </c>
      <c r="E14" s="273" t="n">
        <f aca="false">E15+D14</f>
        <v>3465.72416666667</v>
      </c>
      <c r="F14" s="274" t="n">
        <v>0</v>
      </c>
      <c r="G14" s="275" t="n">
        <f aca="false">E14*F14</f>
        <v>0</v>
      </c>
      <c r="H14" s="276" t="n">
        <v>0</v>
      </c>
      <c r="I14" s="275" t="n">
        <f aca="false">E14*H14</f>
        <v>0</v>
      </c>
      <c r="J14" s="274" t="n">
        <v>0</v>
      </c>
      <c r="K14" s="275" t="n">
        <f aca="false">E14*J14</f>
        <v>0</v>
      </c>
      <c r="P14" s="294"/>
      <c r="Q14" s="294"/>
      <c r="R14" s="294"/>
      <c r="S14" s="296"/>
    </row>
    <row r="15" customFormat="false" ht="15" hidden="false" customHeight="false" outlineLevel="0" collapsed="false">
      <c r="A15" s="277" t="s">
        <v>97</v>
      </c>
      <c r="B15" s="291" t="n">
        <v>22903.2</v>
      </c>
      <c r="C15" s="278" t="n">
        <f aca="false">B15-B16</f>
        <v>817.09</v>
      </c>
      <c r="D15" s="292" t="n">
        <f aca="false">C15/12*13</f>
        <v>885.180833333334</v>
      </c>
      <c r="E15" s="293" t="n">
        <f aca="false">E16+D15</f>
        <v>2772.39083333333</v>
      </c>
      <c r="F15" s="281" t="n">
        <v>0</v>
      </c>
      <c r="G15" s="279" t="n">
        <f aca="false">E15*F15</f>
        <v>0</v>
      </c>
      <c r="H15" s="280" t="n">
        <v>0</v>
      </c>
      <c r="I15" s="279" t="n">
        <f aca="false">E15*H15</f>
        <v>0</v>
      </c>
      <c r="J15" s="281" t="n">
        <v>0</v>
      </c>
      <c r="K15" s="279" t="n">
        <f aca="false">E15*J15</f>
        <v>0</v>
      </c>
      <c r="P15" s="294"/>
      <c r="Q15" s="294"/>
      <c r="R15" s="294"/>
      <c r="S15" s="296"/>
    </row>
    <row r="16" customFormat="false" ht="15" hidden="false" customHeight="false" outlineLevel="0" collapsed="false">
      <c r="A16" s="277" t="s">
        <v>130</v>
      </c>
      <c r="B16" s="291" t="n">
        <v>22086.11</v>
      </c>
      <c r="C16" s="278" t="n">
        <f aca="false">B16-B17</f>
        <v>676.290000000001</v>
      </c>
      <c r="D16" s="292" t="n">
        <f aca="false">C16/12*13</f>
        <v>732.647500000001</v>
      </c>
      <c r="E16" s="293" t="n">
        <f aca="false">E17+D16</f>
        <v>1887.21</v>
      </c>
      <c r="F16" s="281" t="n">
        <v>1</v>
      </c>
      <c r="G16" s="279" t="n">
        <f aca="false">E16*F16</f>
        <v>1887.21</v>
      </c>
      <c r="H16" s="280" t="n">
        <v>0</v>
      </c>
      <c r="I16" s="279" t="n">
        <f aca="false">E16*H16</f>
        <v>0</v>
      </c>
      <c r="J16" s="281" t="n">
        <v>0</v>
      </c>
      <c r="K16" s="279" t="n">
        <f aca="false">E16*J16</f>
        <v>0</v>
      </c>
      <c r="R16" s="300"/>
    </row>
    <row r="17" customFormat="false" ht="15" hidden="false" customHeight="false" outlineLevel="0" collapsed="false">
      <c r="A17" s="277" t="s">
        <v>55</v>
      </c>
      <c r="B17" s="291" t="n">
        <v>21409.82</v>
      </c>
      <c r="C17" s="278" t="n">
        <f aca="false">B17-B18</f>
        <v>580.560000000001</v>
      </c>
      <c r="D17" s="292" t="n">
        <f aca="false">C17/12*13</f>
        <v>628.940000000001</v>
      </c>
      <c r="E17" s="293" t="n">
        <f aca="false">D18+D17</f>
        <v>1154.5625</v>
      </c>
      <c r="F17" s="281" t="n">
        <v>10</v>
      </c>
      <c r="G17" s="279" t="n">
        <f aca="false">E17*F17</f>
        <v>11545.625</v>
      </c>
      <c r="H17" s="280" t="n">
        <v>0</v>
      </c>
      <c r="I17" s="279" t="n">
        <f aca="false">E17*H17</f>
        <v>0</v>
      </c>
      <c r="J17" s="281" t="n">
        <v>0</v>
      </c>
      <c r="K17" s="279" t="n">
        <f aca="false">E17*J17</f>
        <v>0</v>
      </c>
    </row>
    <row r="18" customFormat="false" ht="15" hidden="false" customHeight="false" outlineLevel="0" collapsed="false">
      <c r="A18" s="277" t="s">
        <v>131</v>
      </c>
      <c r="B18" s="291" t="n">
        <v>20829.26</v>
      </c>
      <c r="C18" s="278" t="n">
        <f aca="false">B18-B19</f>
        <v>485.189999999999</v>
      </c>
      <c r="D18" s="292" t="n">
        <f aca="false">C18/12*13</f>
        <v>525.622499999999</v>
      </c>
      <c r="E18" s="293" t="n">
        <f aca="false">D18</f>
        <v>525.622499999999</v>
      </c>
      <c r="F18" s="281" t="n">
        <v>27</v>
      </c>
      <c r="G18" s="279" t="n">
        <f aca="false">E18*F18</f>
        <v>14191.8075</v>
      </c>
      <c r="H18" s="280" t="n">
        <v>0</v>
      </c>
      <c r="I18" s="279" t="n">
        <f aca="false">E18*H18</f>
        <v>0</v>
      </c>
      <c r="J18" s="281" t="n">
        <v>0</v>
      </c>
      <c r="K18" s="279" t="n">
        <f aca="false">E18*J18</f>
        <v>0</v>
      </c>
    </row>
    <row r="19" customFormat="false" ht="15.75" hidden="false" customHeight="false" outlineLevel="0" collapsed="false">
      <c r="A19" s="282" t="s">
        <v>132</v>
      </c>
      <c r="B19" s="297" t="n">
        <v>20344.07</v>
      </c>
      <c r="C19" s="284"/>
      <c r="D19" s="298"/>
      <c r="E19" s="299"/>
      <c r="F19" s="287" t="n">
        <v>5</v>
      </c>
      <c r="G19" s="288"/>
      <c r="H19" s="289" t="n">
        <v>0</v>
      </c>
      <c r="I19" s="288"/>
      <c r="J19" s="287" t="n">
        <v>0</v>
      </c>
      <c r="K19" s="288"/>
    </row>
    <row r="20" customFormat="false" ht="15" hidden="false" customHeight="false" outlineLevel="0" collapsed="false">
      <c r="A20" s="270" t="s">
        <v>133</v>
      </c>
      <c r="B20" s="290" t="n">
        <v>21248.24</v>
      </c>
      <c r="C20" s="271" t="n">
        <f aca="false">B20-B21</f>
        <v>460</v>
      </c>
      <c r="D20" s="272" t="n">
        <f aca="false">C20/12*13</f>
        <v>498.333333333333</v>
      </c>
      <c r="E20" s="273" t="n">
        <f aca="false">E21+D20</f>
        <v>2366.47666666667</v>
      </c>
      <c r="F20" s="274" t="n">
        <v>0</v>
      </c>
      <c r="G20" s="275" t="n">
        <f aca="false">E20*F20</f>
        <v>0</v>
      </c>
      <c r="H20" s="276" t="n">
        <v>0</v>
      </c>
      <c r="I20" s="275" t="n">
        <f aca="false">E20*H20</f>
        <v>0</v>
      </c>
      <c r="J20" s="274" t="n">
        <v>0</v>
      </c>
      <c r="K20" s="275" t="n">
        <f aca="false">E20*J20</f>
        <v>0</v>
      </c>
    </row>
    <row r="21" customFormat="false" ht="15" hidden="false" customHeight="false" outlineLevel="0" collapsed="false">
      <c r="A21" s="277" t="s">
        <v>134</v>
      </c>
      <c r="B21" s="291" t="n">
        <v>20788.24</v>
      </c>
      <c r="C21" s="278" t="n">
        <f aca="false">B21-B22</f>
        <v>769.140000000003</v>
      </c>
      <c r="D21" s="292" t="n">
        <f aca="false">C21/12*13</f>
        <v>833.235000000003</v>
      </c>
      <c r="E21" s="293" t="n">
        <f aca="false">E22+D21</f>
        <v>1868.14333333334</v>
      </c>
      <c r="F21" s="281" t="n">
        <v>0</v>
      </c>
      <c r="G21" s="279" t="n">
        <f aca="false">E21*F21</f>
        <v>0</v>
      </c>
      <c r="H21" s="280" t="n">
        <v>0</v>
      </c>
      <c r="I21" s="279" t="n">
        <f aca="false">E21*H21</f>
        <v>0</v>
      </c>
      <c r="J21" s="281" t="n">
        <v>0</v>
      </c>
      <c r="K21" s="279" t="n">
        <f aca="false">E21*J21</f>
        <v>0</v>
      </c>
    </row>
    <row r="22" customFormat="false" ht="15" hidden="false" customHeight="false" outlineLevel="0" collapsed="false">
      <c r="A22" s="277" t="s">
        <v>135</v>
      </c>
      <c r="B22" s="291" t="n">
        <v>20019.1</v>
      </c>
      <c r="C22" s="278" t="n">
        <f aca="false">B22-B23</f>
        <v>349.189999999999</v>
      </c>
      <c r="D22" s="292" t="n">
        <f aca="false">C22/12*13</f>
        <v>378.289166666665</v>
      </c>
      <c r="E22" s="293" t="n">
        <f aca="false">E23+D22</f>
        <v>1034.90833333333</v>
      </c>
      <c r="F22" s="281" t="n">
        <v>3</v>
      </c>
      <c r="G22" s="279" t="n">
        <f aca="false">E22*F22</f>
        <v>3104.725</v>
      </c>
      <c r="H22" s="280" t="n">
        <v>0</v>
      </c>
      <c r="I22" s="279" t="n">
        <f aca="false">E22*H22</f>
        <v>0</v>
      </c>
      <c r="J22" s="281" t="n">
        <v>0</v>
      </c>
      <c r="K22" s="279" t="n">
        <f aca="false">E22*J22</f>
        <v>0</v>
      </c>
    </row>
    <row r="23" customFormat="false" ht="15" hidden="false" customHeight="false" outlineLevel="0" collapsed="false">
      <c r="A23" s="277" t="s">
        <v>136</v>
      </c>
      <c r="B23" s="291" t="n">
        <v>19669.91</v>
      </c>
      <c r="C23" s="278" t="n">
        <f aca="false">B23-B24</f>
        <v>326.579999999998</v>
      </c>
      <c r="D23" s="292" t="n">
        <f aca="false">C23/12*13</f>
        <v>353.794999999998</v>
      </c>
      <c r="E23" s="293" t="n">
        <f aca="false">D24+D23</f>
        <v>656.619166666667</v>
      </c>
      <c r="F23" s="281" t="n">
        <v>10</v>
      </c>
      <c r="G23" s="279" t="n">
        <f aca="false">E23*F23</f>
        <v>6566.19166666667</v>
      </c>
      <c r="H23" s="280" t="n">
        <v>0</v>
      </c>
      <c r="I23" s="279" t="n">
        <f aca="false">E23*H23</f>
        <v>0</v>
      </c>
      <c r="J23" s="281" t="n">
        <v>0</v>
      </c>
      <c r="K23" s="279" t="n">
        <f aca="false">E23*J23</f>
        <v>0</v>
      </c>
      <c r="N23" s="294"/>
    </row>
    <row r="24" customFormat="false" ht="15" hidden="false" customHeight="false" outlineLevel="0" collapsed="false">
      <c r="A24" s="277" t="s">
        <v>137</v>
      </c>
      <c r="B24" s="291" t="n">
        <v>19343.33</v>
      </c>
      <c r="C24" s="278" t="n">
        <f aca="false">B24-B25</f>
        <v>279.530000000002</v>
      </c>
      <c r="D24" s="292" t="n">
        <f aca="false">C24/12*13</f>
        <v>302.824166666669</v>
      </c>
      <c r="E24" s="293" t="n">
        <f aca="false">D24</f>
        <v>302.824166666669</v>
      </c>
      <c r="F24" s="281" t="n">
        <v>0</v>
      </c>
      <c r="G24" s="279" t="n">
        <f aca="false">E24*F24</f>
        <v>0</v>
      </c>
      <c r="H24" s="280" t="n">
        <v>0</v>
      </c>
      <c r="I24" s="279" t="n">
        <f aca="false">E24*H24</f>
        <v>0</v>
      </c>
      <c r="J24" s="281" t="n">
        <v>0</v>
      </c>
      <c r="K24" s="279" t="n">
        <f aca="false">E24*J24</f>
        <v>0</v>
      </c>
      <c r="N24" s="294"/>
    </row>
    <row r="25" customFormat="false" ht="15.75" hidden="false" customHeight="false" outlineLevel="0" collapsed="false">
      <c r="A25" s="282" t="s">
        <v>138</v>
      </c>
      <c r="B25" s="297" t="n">
        <v>19063.8</v>
      </c>
      <c r="C25" s="284"/>
      <c r="D25" s="298"/>
      <c r="E25" s="299"/>
      <c r="F25" s="287" t="n">
        <v>3</v>
      </c>
      <c r="G25" s="288"/>
      <c r="H25" s="289" t="n">
        <v>0</v>
      </c>
      <c r="I25" s="288"/>
      <c r="J25" s="287" t="n">
        <v>0</v>
      </c>
      <c r="K25" s="288"/>
      <c r="N25" s="294"/>
    </row>
    <row r="26" customFormat="false" ht="15" hidden="false" customHeight="false" outlineLevel="0" collapsed="false">
      <c r="A26" s="270" t="s">
        <v>133</v>
      </c>
      <c r="B26" s="290" t="n">
        <v>21248.24</v>
      </c>
      <c r="C26" s="271" t="n">
        <f aca="false">B26-B27</f>
        <v>460</v>
      </c>
      <c r="D26" s="272" t="n">
        <f aca="false">C26/12*13</f>
        <v>498.333333333333</v>
      </c>
      <c r="E26" s="273" t="n">
        <f aca="false">E27+D26</f>
        <v>3482.0175</v>
      </c>
      <c r="F26" s="274" t="n">
        <v>0</v>
      </c>
      <c r="G26" s="275" t="n">
        <f aca="false">E26*F26</f>
        <v>0</v>
      </c>
      <c r="H26" s="276" t="n">
        <v>0</v>
      </c>
      <c r="I26" s="275" t="n">
        <f aca="false">E26*H26</f>
        <v>0</v>
      </c>
      <c r="J26" s="274" t="n">
        <v>0</v>
      </c>
      <c r="K26" s="275" t="n">
        <f aca="false">E26*J26</f>
        <v>0</v>
      </c>
    </row>
    <row r="27" customFormat="false" ht="15" hidden="false" customHeight="false" outlineLevel="0" collapsed="false">
      <c r="A27" s="277" t="s">
        <v>134</v>
      </c>
      <c r="B27" s="291" t="n">
        <v>20788.24</v>
      </c>
      <c r="C27" s="278" t="n">
        <f aca="false">B27-B28</f>
        <v>769.140000000003</v>
      </c>
      <c r="D27" s="292" t="n">
        <f aca="false">C27/12*13</f>
        <v>833.235000000003</v>
      </c>
      <c r="E27" s="293" t="n">
        <f aca="false">E28+D27</f>
        <v>2983.68416666667</v>
      </c>
      <c r="F27" s="281" t="n">
        <v>0</v>
      </c>
      <c r="G27" s="279" t="n">
        <f aca="false">E27*F27</f>
        <v>0</v>
      </c>
      <c r="H27" s="280" t="n">
        <v>0</v>
      </c>
      <c r="I27" s="279" t="n">
        <f aca="false">E27*H27</f>
        <v>0</v>
      </c>
      <c r="J27" s="281" t="n">
        <v>0</v>
      </c>
      <c r="K27" s="279" t="n">
        <f aca="false">E27*J27</f>
        <v>0</v>
      </c>
    </row>
    <row r="28" customFormat="false" ht="15" hidden="false" customHeight="false" outlineLevel="0" collapsed="false">
      <c r="A28" s="277" t="s">
        <v>135</v>
      </c>
      <c r="B28" s="291" t="n">
        <v>20019.1</v>
      </c>
      <c r="C28" s="278" t="n">
        <f aca="false">B28-B29</f>
        <v>349.189999999999</v>
      </c>
      <c r="D28" s="292" t="n">
        <f aca="false">C28/12*13</f>
        <v>378.289166666665</v>
      </c>
      <c r="E28" s="293" t="n">
        <f aca="false">E29+D28</f>
        <v>2150.44916666667</v>
      </c>
      <c r="F28" s="281" t="n">
        <v>0</v>
      </c>
      <c r="G28" s="279" t="n">
        <f aca="false">E28*F28</f>
        <v>0</v>
      </c>
      <c r="H28" s="280" t="n">
        <v>0</v>
      </c>
      <c r="I28" s="279" t="n">
        <f aca="false">E28*H28</f>
        <v>0</v>
      </c>
      <c r="J28" s="281" t="n">
        <v>0</v>
      </c>
      <c r="K28" s="279" t="n">
        <f aca="false">E28*J28</f>
        <v>0</v>
      </c>
    </row>
    <row r="29" customFormat="false" ht="15" hidden="false" customHeight="false" outlineLevel="0" collapsed="false">
      <c r="A29" s="277" t="s">
        <v>136</v>
      </c>
      <c r="B29" s="291" t="n">
        <v>19669.91</v>
      </c>
      <c r="C29" s="278" t="n">
        <f aca="false">B29-B30</f>
        <v>326.579999999998</v>
      </c>
      <c r="D29" s="292" t="n">
        <f aca="false">C29/12*13</f>
        <v>353.794999999998</v>
      </c>
      <c r="E29" s="293" t="n">
        <f aca="false">E30+D29</f>
        <v>1772.16</v>
      </c>
      <c r="F29" s="281" t="n">
        <v>0</v>
      </c>
      <c r="G29" s="279" t="n">
        <f aca="false">E29*F29</f>
        <v>0</v>
      </c>
      <c r="H29" s="280" t="n">
        <v>0</v>
      </c>
      <c r="I29" s="279" t="n">
        <f aca="false">E29*H29</f>
        <v>0</v>
      </c>
      <c r="J29" s="281" t="n">
        <v>0</v>
      </c>
      <c r="K29" s="279" t="n">
        <f aca="false">E29*J29</f>
        <v>0</v>
      </c>
    </row>
    <row r="30" customFormat="false" ht="15" hidden="false" customHeight="false" outlineLevel="0" collapsed="false">
      <c r="A30" s="277" t="s">
        <v>137</v>
      </c>
      <c r="B30" s="291" t="n">
        <v>19343.33</v>
      </c>
      <c r="C30" s="278" t="n">
        <f aca="false">B30-B31</f>
        <v>279.530000000002</v>
      </c>
      <c r="D30" s="292" t="n">
        <f aca="false">C30/12*13</f>
        <v>302.824166666669</v>
      </c>
      <c r="E30" s="293" t="n">
        <f aca="false">E31+D30</f>
        <v>1418.365</v>
      </c>
      <c r="F30" s="281" t="n">
        <v>10</v>
      </c>
      <c r="G30" s="279" t="n">
        <f aca="false">E30*F30</f>
        <v>14183.65</v>
      </c>
      <c r="H30" s="280" t="n">
        <v>0</v>
      </c>
      <c r="I30" s="279" t="n">
        <f aca="false">E30*H30</f>
        <v>0</v>
      </c>
      <c r="J30" s="281" t="n">
        <v>0</v>
      </c>
      <c r="K30" s="279" t="n">
        <f aca="false">E30*J30</f>
        <v>0</v>
      </c>
    </row>
    <row r="31" customFormat="false" ht="15" hidden="false" customHeight="false" outlineLevel="0" collapsed="false">
      <c r="A31" s="277" t="s">
        <v>139</v>
      </c>
      <c r="B31" s="291" t="n">
        <v>19063.8</v>
      </c>
      <c r="C31" s="278" t="n">
        <f aca="false">B31-B32</f>
        <v>729.869999999999</v>
      </c>
      <c r="D31" s="292" t="n">
        <f aca="false">C31/12*13</f>
        <v>790.692499999999</v>
      </c>
      <c r="E31" s="293" t="n">
        <f aca="false">D32+D31</f>
        <v>1115.54083333333</v>
      </c>
      <c r="F31" s="281" t="n">
        <v>12</v>
      </c>
      <c r="G31" s="279" t="n">
        <f aca="false">E31*F31</f>
        <v>13386.49</v>
      </c>
      <c r="H31" s="280" t="n">
        <v>0</v>
      </c>
      <c r="I31" s="279" t="n">
        <f aca="false">E31*H31</f>
        <v>0</v>
      </c>
      <c r="J31" s="281" t="n">
        <v>0</v>
      </c>
      <c r="K31" s="279" t="n">
        <f aca="false">E31*J31</f>
        <v>0</v>
      </c>
    </row>
    <row r="32" customFormat="false" ht="15" hidden="false" customHeight="false" outlineLevel="0" collapsed="false">
      <c r="A32" s="277" t="s">
        <v>61</v>
      </c>
      <c r="B32" s="291" t="n">
        <v>18333.93</v>
      </c>
      <c r="C32" s="278" t="n">
        <f aca="false">B32-B33</f>
        <v>299.860000000001</v>
      </c>
      <c r="D32" s="292" t="n">
        <f aca="false">C32/12*13</f>
        <v>324.848333333334</v>
      </c>
      <c r="E32" s="293" t="n">
        <f aca="false">D32</f>
        <v>324.848333333334</v>
      </c>
      <c r="F32" s="281" t="n">
        <v>27</v>
      </c>
      <c r="G32" s="279" t="n">
        <f aca="false">E32*F32</f>
        <v>8770.90500000002</v>
      </c>
      <c r="H32" s="280" t="n">
        <v>0</v>
      </c>
      <c r="I32" s="279" t="n">
        <f aca="false">E32*H32</f>
        <v>0</v>
      </c>
      <c r="J32" s="281" t="n">
        <v>0</v>
      </c>
      <c r="K32" s="279" t="n">
        <f aca="false">E32*J32</f>
        <v>0</v>
      </c>
    </row>
    <row r="33" customFormat="false" ht="15.75" hidden="false" customHeight="false" outlineLevel="0" collapsed="false">
      <c r="A33" s="282" t="s">
        <v>86</v>
      </c>
      <c r="B33" s="297" t="n">
        <v>18034.07</v>
      </c>
      <c r="C33" s="284"/>
      <c r="D33" s="298"/>
      <c r="E33" s="299"/>
      <c r="F33" s="287" t="n">
        <v>12</v>
      </c>
      <c r="G33" s="288"/>
      <c r="H33" s="289" t="n">
        <v>0</v>
      </c>
      <c r="I33" s="288"/>
      <c r="J33" s="287" t="n">
        <v>0</v>
      </c>
      <c r="K33" s="288"/>
    </row>
    <row r="34" customFormat="false" ht="15" hidden="false" customHeight="false" outlineLevel="0" collapsed="false">
      <c r="A34" s="270" t="s">
        <v>140</v>
      </c>
      <c r="B34" s="290" t="n">
        <v>18661.97</v>
      </c>
      <c r="C34" s="271" t="n">
        <f aca="false">B34-B35</f>
        <v>320</v>
      </c>
      <c r="D34" s="272" t="n">
        <f aca="false">C34/12*13</f>
        <v>346.666666666667</v>
      </c>
      <c r="E34" s="273" t="n">
        <f aca="false">E35+D34</f>
        <v>1734.41666666667</v>
      </c>
      <c r="F34" s="274" t="n">
        <v>0</v>
      </c>
      <c r="G34" s="275" t="n">
        <f aca="false">E34*F34</f>
        <v>0</v>
      </c>
      <c r="H34" s="276" t="n">
        <v>0</v>
      </c>
      <c r="I34" s="275" t="n">
        <f aca="false">E34*H34</f>
        <v>0</v>
      </c>
      <c r="J34" s="274" t="n">
        <v>0</v>
      </c>
      <c r="K34" s="275" t="n">
        <f aca="false">E34*J34</f>
        <v>0</v>
      </c>
    </row>
    <row r="35" customFormat="false" ht="15" hidden="false" customHeight="false" outlineLevel="0" collapsed="false">
      <c r="A35" s="277" t="s">
        <v>141</v>
      </c>
      <c r="B35" s="291" t="n">
        <v>18341.97</v>
      </c>
      <c r="C35" s="278" t="n">
        <f aca="false">B35-B36</f>
        <v>371.43</v>
      </c>
      <c r="D35" s="292" t="n">
        <f aca="false">C35/12*13</f>
        <v>402.3825</v>
      </c>
      <c r="E35" s="293" t="n">
        <f aca="false">E36+D35</f>
        <v>1387.75</v>
      </c>
      <c r="F35" s="281" t="n">
        <v>0</v>
      </c>
      <c r="G35" s="279" t="n">
        <f aca="false">E35*F35</f>
        <v>0</v>
      </c>
      <c r="H35" s="280" t="n">
        <v>0</v>
      </c>
      <c r="I35" s="279" t="n">
        <f aca="false">E35*H35</f>
        <v>0</v>
      </c>
      <c r="J35" s="281" t="n">
        <v>0</v>
      </c>
      <c r="K35" s="279" t="n">
        <f aca="false">E35*J35</f>
        <v>0</v>
      </c>
    </row>
    <row r="36" customFormat="false" ht="15" hidden="false" customHeight="false" outlineLevel="0" collapsed="false">
      <c r="A36" s="277" t="s">
        <v>142</v>
      </c>
      <c r="B36" s="291" t="n">
        <v>17970.54</v>
      </c>
      <c r="C36" s="278" t="n">
        <f aca="false">B36-B37</f>
        <v>313.98</v>
      </c>
      <c r="D36" s="292" t="n">
        <f aca="false">C36/12*13</f>
        <v>340.145</v>
      </c>
      <c r="E36" s="293" t="n">
        <f aca="false">E37+D36</f>
        <v>985.3675</v>
      </c>
      <c r="F36" s="281" t="n">
        <v>0</v>
      </c>
      <c r="G36" s="279" t="n">
        <f aca="false">E36*F36</f>
        <v>0</v>
      </c>
      <c r="H36" s="280" t="n">
        <v>0</v>
      </c>
      <c r="I36" s="279" t="n">
        <f aca="false">E36*H36</f>
        <v>0</v>
      </c>
      <c r="J36" s="281" t="n">
        <v>0</v>
      </c>
      <c r="K36" s="279" t="n">
        <f aca="false">E36*J36</f>
        <v>0</v>
      </c>
    </row>
    <row r="37" customFormat="false" ht="15" hidden="false" customHeight="false" outlineLevel="0" collapsed="false">
      <c r="A37" s="277" t="s">
        <v>143</v>
      </c>
      <c r="B37" s="291" t="n">
        <v>17656.56</v>
      </c>
      <c r="C37" s="278" t="n">
        <f aca="false">B37-B38</f>
        <v>366.25</v>
      </c>
      <c r="D37" s="292" t="n">
        <f aca="false">C37/12*13</f>
        <v>396.770833333333</v>
      </c>
      <c r="E37" s="293" t="n">
        <f aca="false">D38+D37</f>
        <v>645.2225</v>
      </c>
      <c r="F37" s="281" t="n">
        <v>2</v>
      </c>
      <c r="G37" s="279" t="n">
        <f aca="false">E37*F37</f>
        <v>1290.445</v>
      </c>
      <c r="H37" s="280" t="n">
        <v>0</v>
      </c>
      <c r="I37" s="279" t="n">
        <f aca="false">E37*H37</f>
        <v>0</v>
      </c>
      <c r="J37" s="281" t="n">
        <v>0</v>
      </c>
      <c r="K37" s="279" t="n">
        <f aca="false">E37*J37</f>
        <v>0</v>
      </c>
    </row>
    <row r="38" customFormat="false" ht="15" hidden="false" customHeight="false" outlineLevel="0" collapsed="false">
      <c r="A38" s="277" t="s">
        <v>144</v>
      </c>
      <c r="B38" s="291" t="n">
        <v>17290.31</v>
      </c>
      <c r="C38" s="278" t="n">
        <f aca="false">B38-B39</f>
        <v>229.34</v>
      </c>
      <c r="D38" s="292" t="n">
        <f aca="false">C38/12*13</f>
        <v>248.451666666667</v>
      </c>
      <c r="E38" s="293" t="n">
        <f aca="false">D38</f>
        <v>248.451666666667</v>
      </c>
      <c r="F38" s="281" t="n">
        <v>0</v>
      </c>
      <c r="G38" s="279" t="n">
        <f aca="false">E38*F38</f>
        <v>0</v>
      </c>
      <c r="H38" s="280" t="n">
        <v>0</v>
      </c>
      <c r="I38" s="279" t="n">
        <f aca="false">E38*H38</f>
        <v>0</v>
      </c>
      <c r="J38" s="281" t="n">
        <v>0</v>
      </c>
      <c r="K38" s="279" t="n">
        <f aca="false">E38*J38</f>
        <v>0</v>
      </c>
    </row>
    <row r="39" customFormat="false" ht="15.75" hidden="false" customHeight="false" outlineLevel="0" collapsed="false">
      <c r="A39" s="282" t="s">
        <v>145</v>
      </c>
      <c r="B39" s="297" t="n">
        <v>17060.97</v>
      </c>
      <c r="C39" s="284"/>
      <c r="D39" s="298"/>
      <c r="E39" s="299"/>
      <c r="F39" s="287" t="n">
        <v>0</v>
      </c>
      <c r="G39" s="288"/>
      <c r="H39" s="289" t="n">
        <v>0</v>
      </c>
      <c r="I39" s="288"/>
      <c r="J39" s="287" t="n">
        <v>0</v>
      </c>
      <c r="K39" s="288"/>
    </row>
    <row r="40" customFormat="false" ht="15" hidden="false" customHeight="false" outlineLevel="0" collapsed="false">
      <c r="A40" s="301"/>
      <c r="B40" s="301"/>
      <c r="C40" s="301"/>
      <c r="D40" s="302" t="s">
        <v>146</v>
      </c>
      <c r="E40" s="302"/>
      <c r="F40" s="303" t="n">
        <f aca="false">SUM(F2:F39)</f>
        <v>159</v>
      </c>
      <c r="G40" s="304"/>
      <c r="H40" s="304"/>
      <c r="I40" s="304"/>
      <c r="J40" s="304"/>
      <c r="K40" s="305"/>
    </row>
    <row r="41" customFormat="false" ht="15" hidden="false" customHeight="false" outlineLevel="0" collapsed="false">
      <c r="A41" s="301"/>
      <c r="B41" s="301"/>
      <c r="C41" s="301"/>
      <c r="D41" s="301"/>
      <c r="E41" s="301"/>
      <c r="F41" s="306"/>
      <c r="G41" s="304"/>
      <c r="H41" s="304"/>
      <c r="I41" s="304"/>
      <c r="J41" s="304"/>
      <c r="K41" s="305"/>
    </row>
    <row r="42" customFormat="false" ht="15.75" hidden="false" customHeight="false" outlineLevel="0" collapsed="false">
      <c r="A42" s="301"/>
      <c r="B42" s="301"/>
      <c r="C42" s="301"/>
      <c r="D42" s="307" t="s">
        <v>147</v>
      </c>
      <c r="E42" s="307"/>
      <c r="F42" s="307"/>
      <c r="G42" s="308" t="n">
        <f aca="false">SUM(G2:G39)</f>
        <v>102170.64</v>
      </c>
      <c r="H42" s="309"/>
      <c r="I42" s="308" t="n">
        <f aca="false">SUM(I2:I39)</f>
        <v>0</v>
      </c>
      <c r="J42" s="309"/>
      <c r="K42" s="308" t="n">
        <f aca="false">SUM(K2:K39)</f>
        <v>0</v>
      </c>
    </row>
  </sheetData>
  <mergeCells count="1">
    <mergeCell ref="D42:F4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LibreOffice/6.3.0.4$Windows_X86_64 LibreOffice_project/057fc023c990d676a43019934386b85b21a9ee99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2018-08-20T13:44:38Z</dcterms:created>
  <dc:creator>ELISABETTA PESCI</dc:creator>
  <dc:description/>
  <dc:language>it-IT</dc:language>
  <cp:lastModifiedBy/>
  <cp:lastPrinted>2019-05-28T11:02:40Z</cp:lastPrinted>
  <dcterms:modified xsi:type="dcterms:W3CDTF">2019-10-02T15:50:21Z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